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2023\อ.เข้\SC04 - ปรับปรุงพื้นที่สำหรับห้องปฏิบัติการวิทยาสตร์\FINAL 2567-09-30\BOQ\Final\"/>
    </mc:Choice>
  </mc:AlternateContent>
  <xr:revisionPtr revIDLastSave="0" documentId="13_ncr:1_{9F348BCE-609A-44E0-8792-7EED6173D093}" xr6:coauthVersionLast="47" xr6:coauthVersionMax="47" xr10:uidLastSave="{00000000-0000-0000-0000-000000000000}"/>
  <bookViews>
    <workbookView xWindow="-120" yWindow="-120" windowWidth="29040" windowHeight="15840" tabRatio="751" activeTab="1" xr2:uid="{00000000-000D-0000-FFFF-FFFF00000000}"/>
  </bookViews>
  <sheets>
    <sheet name=" ปร.6" sheetId="20" r:id="rId1"/>
    <sheet name=" ปร.5" sheetId="11" r:id="rId2"/>
    <sheet name="Summary cost" sheetId="31" r:id="rId3"/>
    <sheet name="1.1.ST" sheetId="33" r:id="rId4"/>
    <sheet name="1.2 AR" sheetId="35" r:id="rId5"/>
    <sheet name="1.3.EE " sheetId="27" r:id="rId6"/>
    <sheet name="1.4.SN " sheetId="32" r:id="rId7"/>
    <sheet name="2.1.EEอุปกรณ์ประกอบอาคาร" sheetId="28" r:id="rId8"/>
    <sheet name="2.2ARงานป้ายสัญลักษณ์" sheetId="36" r:id="rId9"/>
    <sheet name="2.3 งานอุปกรณ์ประกอบสถาปัตยกรรม" sheetId="37" r:id="rId10"/>
  </sheets>
  <externalReferences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__________PCT1">'[1]summary1-2'!#REF!</definedName>
    <definedName name="__________PCT2">'[1]summary1-2'!#REF!</definedName>
    <definedName name="__________PCT3">'[1]summary1-2'!#REF!</definedName>
    <definedName name="_________LCF1">#REF!</definedName>
    <definedName name="_________LCR12">#REF!</definedName>
    <definedName name="_________PCT1">'[2]summary1-2'!#REF!</definedName>
    <definedName name="_________PCT2">'[2]summary1-2'!#REF!</definedName>
    <definedName name="_________PCT3">'[2]summary1-2'!#REF!</definedName>
    <definedName name="_________sss202">'[2]summary1-3'!$H$177</definedName>
    <definedName name="________LCF1">#REF!</definedName>
    <definedName name="________LCR12">#REF!</definedName>
    <definedName name="________PCT1">'[1]summary1-2'!#REF!</definedName>
    <definedName name="________PCT2">'[1]summary1-2'!#REF!</definedName>
    <definedName name="________PCT3">'[1]summary1-2'!#REF!</definedName>
    <definedName name="_______LCF1" localSheetId="6">#REF!</definedName>
    <definedName name="_______LCR12" localSheetId="6">#REF!</definedName>
    <definedName name="_______PCT1" localSheetId="6">'[1]summary1-2'!#REF!</definedName>
    <definedName name="_______PCT2" localSheetId="6">'[1]summary1-2'!#REF!</definedName>
    <definedName name="_______PCT3" localSheetId="6">'[1]summary1-2'!#REF!</definedName>
    <definedName name="_______sss202">'[1]summary1-3'!$H$177</definedName>
    <definedName name="______con1">#REF!</definedName>
    <definedName name="______LCF1">#REF!</definedName>
    <definedName name="______LCR12">#REF!</definedName>
    <definedName name="______PCT1">'[1]summary1-2'!#REF!</definedName>
    <definedName name="______PCT2">'[1]summary1-2'!#REF!</definedName>
    <definedName name="______PCT3">'[1]summary1-2'!#REF!</definedName>
    <definedName name="______sss202">'[1]summary1-3'!$H$177</definedName>
    <definedName name="______st1">#REF!</definedName>
    <definedName name="_____con1">#REF!</definedName>
    <definedName name="_____LCF1">#REF!</definedName>
    <definedName name="_____LCR12">#REF!</definedName>
    <definedName name="_____PCT1">'[3]summary1-2'!#REF!</definedName>
    <definedName name="_____PCT2">'[3]summary1-2'!#REF!</definedName>
    <definedName name="_____PCT3">'[3]summary1-2'!#REF!</definedName>
    <definedName name="_____sss202">'[1]summary1-3'!$H$177</definedName>
    <definedName name="_____st1">#REF!</definedName>
    <definedName name="____con1" localSheetId="6">#REF!</definedName>
    <definedName name="____LCF1" localSheetId="3">#REF!</definedName>
    <definedName name="____LCF1" localSheetId="6">#REF!</definedName>
    <definedName name="____LCF1" localSheetId="2">#REF!</definedName>
    <definedName name="____LCF1">#REF!</definedName>
    <definedName name="____LCR12" localSheetId="3">#REF!</definedName>
    <definedName name="____LCR12" localSheetId="6">#REF!</definedName>
    <definedName name="____LCR12" localSheetId="2">#REF!</definedName>
    <definedName name="____LCR12">#REF!</definedName>
    <definedName name="____PCT1" localSheetId="3">'[1]summary1-2'!#REF!</definedName>
    <definedName name="____PCT1" localSheetId="6">'[2]summary1-2'!#REF!</definedName>
    <definedName name="____PCT1" localSheetId="2">'[1]summary1-2'!#REF!</definedName>
    <definedName name="____PCT1">'[4]summary1-2'!#REF!</definedName>
    <definedName name="____PCT2" localSheetId="3">'[1]summary1-2'!#REF!</definedName>
    <definedName name="____PCT2" localSheetId="6">'[2]summary1-2'!#REF!</definedName>
    <definedName name="____PCT2" localSheetId="2">'[1]summary1-2'!#REF!</definedName>
    <definedName name="____PCT2">'[4]summary1-2'!#REF!</definedName>
    <definedName name="____PCT3" localSheetId="3">'[1]summary1-2'!#REF!</definedName>
    <definedName name="____PCT3" localSheetId="6">'[2]summary1-2'!#REF!</definedName>
    <definedName name="____PCT3" localSheetId="2">'[1]summary1-2'!#REF!</definedName>
    <definedName name="____PCT3">'[4]summary1-2'!#REF!</definedName>
    <definedName name="____sss202" localSheetId="3">'[1]summary1-3'!$H$177</definedName>
    <definedName name="____sss202" localSheetId="6">'[2]summary1-3'!$H$177</definedName>
    <definedName name="____sss202" localSheetId="2">'[1]summary1-3'!$H$177</definedName>
    <definedName name="____sss202">'[3]summary1-3'!$H$177</definedName>
    <definedName name="____st1" localSheetId="6">#REF!</definedName>
    <definedName name="___con1">#REF!</definedName>
    <definedName name="___LCF1" localSheetId="3">#REF!</definedName>
    <definedName name="___LCF1" localSheetId="4">#REF!</definedName>
    <definedName name="___LCF1" localSheetId="5">#REF!</definedName>
    <definedName name="___LCF1" localSheetId="6">#REF!</definedName>
    <definedName name="___LCF1" localSheetId="7">#REF!</definedName>
    <definedName name="___LCF1" localSheetId="8">#REF!</definedName>
    <definedName name="___LCF1" localSheetId="9">#REF!</definedName>
    <definedName name="___LCF1" localSheetId="2">#REF!</definedName>
    <definedName name="___LCF1">#REF!</definedName>
    <definedName name="___LCF2">#REF!</definedName>
    <definedName name="___LCR12" localSheetId="3">#REF!</definedName>
    <definedName name="___LCR12" localSheetId="4">#REF!</definedName>
    <definedName name="___LCR12" localSheetId="5">#REF!</definedName>
    <definedName name="___LCR12" localSheetId="6">#REF!</definedName>
    <definedName name="___LCR12" localSheetId="7">#REF!</definedName>
    <definedName name="___LCR12" localSheetId="8">#REF!</definedName>
    <definedName name="___LCR12" localSheetId="9">#REF!</definedName>
    <definedName name="___LCR12" localSheetId="2">#REF!</definedName>
    <definedName name="___LCR12">#REF!</definedName>
    <definedName name="___PCT1" localSheetId="3">'[1]summary1-2'!#REF!</definedName>
    <definedName name="___PCT1" localSheetId="4">'[1]summary1-2'!#REF!</definedName>
    <definedName name="___PCT1" localSheetId="5">'[1]summary1-2'!#REF!</definedName>
    <definedName name="___PCT1" localSheetId="6">'[1]summary1-2'!#REF!</definedName>
    <definedName name="___PCT1" localSheetId="7">'[1]summary1-2'!#REF!</definedName>
    <definedName name="___PCT1" localSheetId="8">'[1]summary1-2'!#REF!</definedName>
    <definedName name="___PCT1" localSheetId="9">'[1]summary1-2'!#REF!</definedName>
    <definedName name="___PCT1" localSheetId="2">'[1]summary1-2'!#REF!</definedName>
    <definedName name="___PCT1">'[3]summary1-2'!#REF!</definedName>
    <definedName name="___PCT2" localSheetId="3">'[1]summary1-2'!#REF!</definedName>
    <definedName name="___PCT2" localSheetId="4">'[1]summary1-2'!#REF!</definedName>
    <definedName name="___PCT2" localSheetId="5">'[1]summary1-2'!#REF!</definedName>
    <definedName name="___PCT2" localSheetId="6">'[1]summary1-2'!#REF!</definedName>
    <definedName name="___PCT2" localSheetId="7">'[1]summary1-2'!#REF!</definedName>
    <definedName name="___PCT2" localSheetId="8">'[1]summary1-2'!#REF!</definedName>
    <definedName name="___PCT2" localSheetId="9">'[1]summary1-2'!#REF!</definedName>
    <definedName name="___PCT2" localSheetId="2">'[1]summary1-2'!#REF!</definedName>
    <definedName name="___PCT2">'[3]summary1-2'!#REF!</definedName>
    <definedName name="___PCT3" localSheetId="3">'[1]summary1-2'!#REF!</definedName>
    <definedName name="___PCT3" localSheetId="4">'[1]summary1-2'!#REF!</definedName>
    <definedName name="___PCT3" localSheetId="5">'[1]summary1-2'!#REF!</definedName>
    <definedName name="___PCT3" localSheetId="6">'[1]summary1-2'!#REF!</definedName>
    <definedName name="___PCT3" localSheetId="7">'[1]summary1-2'!#REF!</definedName>
    <definedName name="___PCT3" localSheetId="8">'[1]summary1-2'!#REF!</definedName>
    <definedName name="___PCT3" localSheetId="9">'[1]summary1-2'!#REF!</definedName>
    <definedName name="___PCT3" localSheetId="2">'[1]summary1-2'!#REF!</definedName>
    <definedName name="___PCT3">'[3]summary1-2'!#REF!</definedName>
    <definedName name="___sss202" localSheetId="3">'[1]summary1-3'!$H$177</definedName>
    <definedName name="___sss202" localSheetId="4">'[1]summary1-3'!$H$177</definedName>
    <definedName name="___sss202" localSheetId="5">'[1]summary1-3'!$H$177</definedName>
    <definedName name="___sss202" localSheetId="6">'[1]summary1-3'!$H$177</definedName>
    <definedName name="___sss202" localSheetId="7">'[1]summary1-3'!$H$177</definedName>
    <definedName name="___sss202" localSheetId="8">'[1]summary1-3'!$H$177</definedName>
    <definedName name="___sss202" localSheetId="9">'[1]summary1-3'!$H$177</definedName>
    <definedName name="___sss202" localSheetId="2">'[1]summary1-3'!$H$177</definedName>
    <definedName name="___sss202">'[3]summary1-3'!$H$177</definedName>
    <definedName name="___st1">#REF!</definedName>
    <definedName name="__con1">#REF!</definedName>
    <definedName name="__LCF1" localSheetId="3">#REF!</definedName>
    <definedName name="__LCF1" localSheetId="4">#REF!</definedName>
    <definedName name="__LCF1" localSheetId="5">#REF!</definedName>
    <definedName name="__LCF1" localSheetId="6">#REF!</definedName>
    <definedName name="__LCF1" localSheetId="7">#REF!</definedName>
    <definedName name="__LCF1" localSheetId="8">#REF!</definedName>
    <definedName name="__LCF1" localSheetId="9">#REF!</definedName>
    <definedName name="__LCF1" localSheetId="2">#REF!</definedName>
    <definedName name="__LCF1">#REF!</definedName>
    <definedName name="__LCF2">#REF!</definedName>
    <definedName name="__LCR12" localSheetId="3">#REF!</definedName>
    <definedName name="__LCR12" localSheetId="4">#REF!</definedName>
    <definedName name="__LCR12" localSheetId="5">#REF!</definedName>
    <definedName name="__LCR12" localSheetId="6">#REF!</definedName>
    <definedName name="__LCR12" localSheetId="7">#REF!</definedName>
    <definedName name="__LCR12" localSheetId="8">#REF!</definedName>
    <definedName name="__LCR12" localSheetId="9">#REF!</definedName>
    <definedName name="__LCR12" localSheetId="2">#REF!</definedName>
    <definedName name="__LCR12">#REF!</definedName>
    <definedName name="__PCT1" localSheetId="3">'[1]summary1-2'!#REF!</definedName>
    <definedName name="__PCT1" localSheetId="4">'[1]summary1-2'!#REF!</definedName>
    <definedName name="__PCT1" localSheetId="5">'[1]summary1-2'!#REF!</definedName>
    <definedName name="__PCT1" localSheetId="6">'[1]summary1-2'!#REF!</definedName>
    <definedName name="__PCT1" localSheetId="7">'[1]summary1-2'!#REF!</definedName>
    <definedName name="__PCT1" localSheetId="8">'[1]summary1-2'!#REF!</definedName>
    <definedName name="__PCT1" localSheetId="9">'[1]summary1-2'!#REF!</definedName>
    <definedName name="__PCT1" localSheetId="2">'[1]summary1-2'!#REF!</definedName>
    <definedName name="__PCT1">'[3]summary1-2'!#REF!</definedName>
    <definedName name="__PCT2" localSheetId="3">'[1]summary1-2'!#REF!</definedName>
    <definedName name="__PCT2" localSheetId="4">'[1]summary1-2'!#REF!</definedName>
    <definedName name="__PCT2" localSheetId="5">'[1]summary1-2'!#REF!</definedName>
    <definedName name="__PCT2" localSheetId="6">'[1]summary1-2'!#REF!</definedName>
    <definedName name="__PCT2" localSheetId="7">'[1]summary1-2'!#REF!</definedName>
    <definedName name="__PCT2" localSheetId="8">'[1]summary1-2'!#REF!</definedName>
    <definedName name="__PCT2" localSheetId="9">'[1]summary1-2'!#REF!</definedName>
    <definedName name="__PCT2" localSheetId="2">'[1]summary1-2'!#REF!</definedName>
    <definedName name="__PCT2">'[3]summary1-2'!#REF!</definedName>
    <definedName name="__PCT3" localSheetId="3">'[1]summary1-2'!#REF!</definedName>
    <definedName name="__PCT3" localSheetId="4">'[1]summary1-2'!#REF!</definedName>
    <definedName name="__PCT3" localSheetId="5">'[1]summary1-2'!#REF!</definedName>
    <definedName name="__PCT3" localSheetId="6">'[1]summary1-2'!#REF!</definedName>
    <definedName name="__PCT3" localSheetId="7">'[1]summary1-2'!#REF!</definedName>
    <definedName name="__PCT3" localSheetId="8">'[1]summary1-2'!#REF!</definedName>
    <definedName name="__PCT3" localSheetId="9">'[1]summary1-2'!#REF!</definedName>
    <definedName name="__PCT3" localSheetId="2">'[1]summary1-2'!#REF!</definedName>
    <definedName name="__PCT3">'[3]summary1-2'!#REF!</definedName>
    <definedName name="__sss202" localSheetId="3">'[1]summary1-3'!$H$177</definedName>
    <definedName name="__sss202" localSheetId="4">'[1]summary1-3'!$H$177</definedName>
    <definedName name="__sss202" localSheetId="5">'[1]summary1-3'!$H$177</definedName>
    <definedName name="__sss202" localSheetId="6">'[1]summary1-3'!$H$177</definedName>
    <definedName name="__sss202" localSheetId="7">'[1]summary1-3'!$H$177</definedName>
    <definedName name="__sss202" localSheetId="8">'[1]summary1-3'!$H$177</definedName>
    <definedName name="__sss202" localSheetId="9">'[1]summary1-3'!$H$177</definedName>
    <definedName name="__sss202" localSheetId="2">'[1]summary1-3'!$H$177</definedName>
    <definedName name="__sss202">'[3]summary1-3'!$H$177</definedName>
    <definedName name="__st1">#REF!</definedName>
    <definedName name="_con1" localSheetId="3">#REF!</definedName>
    <definedName name="_con1" localSheetId="6">#REF!</definedName>
    <definedName name="_con1" localSheetId="2">#REF!</definedName>
    <definedName name="_con1">#REF!</definedName>
    <definedName name="_LCF1" localSheetId="3">#REF!</definedName>
    <definedName name="_LCF1" localSheetId="4">#REF!</definedName>
    <definedName name="_LCF1" localSheetId="5">#REF!</definedName>
    <definedName name="_LCF1" localSheetId="6">#REF!</definedName>
    <definedName name="_LCF1" localSheetId="7">#REF!</definedName>
    <definedName name="_LCF1" localSheetId="8">#REF!</definedName>
    <definedName name="_LCF1" localSheetId="9">#REF!</definedName>
    <definedName name="_LCF1" localSheetId="2">#REF!</definedName>
    <definedName name="_LCF1">#REF!</definedName>
    <definedName name="_LCF2">#REF!</definedName>
    <definedName name="_LCR12" localSheetId="3">#REF!</definedName>
    <definedName name="_LCR12" localSheetId="4">#REF!</definedName>
    <definedName name="_LCR12" localSheetId="5">#REF!</definedName>
    <definedName name="_LCR12" localSheetId="6">#REF!</definedName>
    <definedName name="_LCR12" localSheetId="7">#REF!</definedName>
    <definedName name="_LCR12" localSheetId="8">#REF!</definedName>
    <definedName name="_LCR12" localSheetId="9">#REF!</definedName>
    <definedName name="_LCR12" localSheetId="2">#REF!</definedName>
    <definedName name="_LCR12">#REF!</definedName>
    <definedName name="_PCT1" localSheetId="3">'[1]summary1-2'!#REF!</definedName>
    <definedName name="_PCT1" localSheetId="4">'[1]summary1-2'!#REF!</definedName>
    <definedName name="_PCT1" localSheetId="5">'[1]summary1-2'!#REF!</definedName>
    <definedName name="_PCT1" localSheetId="6">'[1]summary1-2'!#REF!</definedName>
    <definedName name="_PCT1" localSheetId="7">'[1]summary1-2'!#REF!</definedName>
    <definedName name="_PCT1" localSheetId="8">'[1]summary1-2'!#REF!</definedName>
    <definedName name="_PCT1" localSheetId="9">'[1]summary1-2'!#REF!</definedName>
    <definedName name="_PCT1" localSheetId="2">'[1]summary1-2'!#REF!</definedName>
    <definedName name="_PCT1">'[3]summary1-2'!#REF!</definedName>
    <definedName name="_PCT2" localSheetId="3">'[1]summary1-2'!#REF!</definedName>
    <definedName name="_PCT2" localSheetId="4">'[1]summary1-2'!#REF!</definedName>
    <definedName name="_PCT2" localSheetId="5">'[1]summary1-2'!#REF!</definedName>
    <definedName name="_PCT2" localSheetId="6">'[1]summary1-2'!#REF!</definedName>
    <definedName name="_PCT2" localSheetId="7">'[1]summary1-2'!#REF!</definedName>
    <definedName name="_PCT2" localSheetId="8">'[1]summary1-2'!#REF!</definedName>
    <definedName name="_PCT2" localSheetId="9">'[1]summary1-2'!#REF!</definedName>
    <definedName name="_PCT2" localSheetId="2">'[1]summary1-2'!#REF!</definedName>
    <definedName name="_PCT2">'[3]summary1-2'!#REF!</definedName>
    <definedName name="_PCT3" localSheetId="3">'[1]summary1-2'!#REF!</definedName>
    <definedName name="_PCT3" localSheetId="4">'[1]summary1-2'!#REF!</definedName>
    <definedName name="_PCT3" localSheetId="5">'[1]summary1-2'!#REF!</definedName>
    <definedName name="_PCT3" localSheetId="6">'[1]summary1-2'!#REF!</definedName>
    <definedName name="_PCT3" localSheetId="7">'[1]summary1-2'!#REF!</definedName>
    <definedName name="_PCT3" localSheetId="8">'[1]summary1-2'!#REF!</definedName>
    <definedName name="_PCT3" localSheetId="9">'[1]summary1-2'!#REF!</definedName>
    <definedName name="_PCT3" localSheetId="2">'[1]summary1-2'!#REF!</definedName>
    <definedName name="_PCT3">'[3]summary1-2'!#REF!</definedName>
    <definedName name="_sss202" localSheetId="3">'[1]summary1-3'!$H$177</definedName>
    <definedName name="_sss202" localSheetId="4">'[1]summary1-3'!$H$177</definedName>
    <definedName name="_sss202" localSheetId="5">'[1]summary1-3'!$H$177</definedName>
    <definedName name="_sss202" localSheetId="6">'[1]summary1-3'!$H$177</definedName>
    <definedName name="_sss202" localSheetId="7">'[1]summary1-3'!$H$177</definedName>
    <definedName name="_sss202" localSheetId="8">'[1]summary1-3'!$H$177</definedName>
    <definedName name="_sss202" localSheetId="9">'[1]summary1-3'!$H$177</definedName>
    <definedName name="_sss202" localSheetId="2">'[1]summary1-3'!$H$177</definedName>
    <definedName name="_sss202">'[3]summary1-3'!$H$177</definedName>
    <definedName name="_st1" localSheetId="3">#REF!</definedName>
    <definedName name="_st1" localSheetId="6">#REF!</definedName>
    <definedName name="_st1" localSheetId="2">#REF!</definedName>
    <definedName name="_st1">#REF!</definedName>
    <definedName name="a" localSheetId="3">#REF!</definedName>
    <definedName name="a" localSheetId="4">#REF!</definedName>
    <definedName name="a" localSheetId="5">#REF!</definedName>
    <definedName name="a" localSheetId="6">#REF!</definedName>
    <definedName name="a" localSheetId="7">#REF!</definedName>
    <definedName name="a" localSheetId="8">#REF!</definedName>
    <definedName name="a" localSheetId="9">#REF!</definedName>
    <definedName name="a" localSheetId="2">#REF!</definedName>
    <definedName name="a">#REF!</definedName>
    <definedName name="aaa" localSheetId="3">#REF!</definedName>
    <definedName name="aaa" localSheetId="4">#REF!</definedName>
    <definedName name="aaa" localSheetId="5">#REF!</definedName>
    <definedName name="aaa" localSheetId="6">#REF!</definedName>
    <definedName name="aaa" localSheetId="7">#REF!</definedName>
    <definedName name="aaa" localSheetId="8">#REF!</definedName>
    <definedName name="aaa" localSheetId="9">#REF!</definedName>
    <definedName name="aaa" localSheetId="2">#REF!</definedName>
    <definedName name="aaa">#REF!</definedName>
    <definedName name="B1N" localSheetId="3">#REF!</definedName>
    <definedName name="B1N" localSheetId="4">#REF!</definedName>
    <definedName name="B1N" localSheetId="5">#REF!</definedName>
    <definedName name="B1N" localSheetId="6">#REF!</definedName>
    <definedName name="B1N" localSheetId="7">#REF!</definedName>
    <definedName name="B1N" localSheetId="8">#REF!</definedName>
    <definedName name="B1N" localSheetId="9">#REF!</definedName>
    <definedName name="B1N" localSheetId="2">#REF!</definedName>
    <definedName name="B1N">#REF!</definedName>
    <definedName name="B2N" localSheetId="3">#REF!</definedName>
    <definedName name="B2N" localSheetId="4">#REF!</definedName>
    <definedName name="B2N" localSheetId="5">#REF!</definedName>
    <definedName name="B2N" localSheetId="6">#REF!</definedName>
    <definedName name="B2N" localSheetId="7">#REF!</definedName>
    <definedName name="B2N" localSheetId="8">#REF!</definedName>
    <definedName name="B2N" localSheetId="9">#REF!</definedName>
    <definedName name="B2N" localSheetId="2">#REF!</definedName>
    <definedName name="B2N">#REF!</definedName>
    <definedName name="B3N" localSheetId="3">#REF!</definedName>
    <definedName name="B3N" localSheetId="4">#REF!</definedName>
    <definedName name="B3N" localSheetId="5">#REF!</definedName>
    <definedName name="B3N" localSheetId="6">#REF!</definedName>
    <definedName name="B3N" localSheetId="7">#REF!</definedName>
    <definedName name="B3N" localSheetId="8">#REF!</definedName>
    <definedName name="B3N" localSheetId="9">#REF!</definedName>
    <definedName name="B3N" localSheetId="2">#REF!</definedName>
    <definedName name="B3N">#REF!</definedName>
    <definedName name="B4N" localSheetId="3">#REF!</definedName>
    <definedName name="B4N" localSheetId="4">#REF!</definedName>
    <definedName name="B4N" localSheetId="5">#REF!</definedName>
    <definedName name="B4N" localSheetId="6">#REF!</definedName>
    <definedName name="B4N" localSheetId="7">#REF!</definedName>
    <definedName name="B4N" localSheetId="8">#REF!</definedName>
    <definedName name="B4N" localSheetId="9">#REF!</definedName>
    <definedName name="B4N" localSheetId="2">#REF!</definedName>
    <definedName name="B4N">#REF!</definedName>
    <definedName name="B5N" localSheetId="3">#REF!</definedName>
    <definedName name="B5N" localSheetId="4">#REF!</definedName>
    <definedName name="B5N" localSheetId="5">#REF!</definedName>
    <definedName name="B5N" localSheetId="6">#REF!</definedName>
    <definedName name="B5N" localSheetId="7">#REF!</definedName>
    <definedName name="B5N" localSheetId="8">#REF!</definedName>
    <definedName name="B5N" localSheetId="9">#REF!</definedName>
    <definedName name="B5N" localSheetId="2">#REF!</definedName>
    <definedName name="B5N">#REF!</definedName>
    <definedName name="B6N" localSheetId="3">#REF!</definedName>
    <definedName name="B6N" localSheetId="4">#REF!</definedName>
    <definedName name="B6N" localSheetId="5">#REF!</definedName>
    <definedName name="B6N" localSheetId="6">#REF!</definedName>
    <definedName name="B6N" localSheetId="7">#REF!</definedName>
    <definedName name="B6N" localSheetId="8">#REF!</definedName>
    <definedName name="B6N" localSheetId="9">#REF!</definedName>
    <definedName name="B6N" localSheetId="2">#REF!</definedName>
    <definedName name="B6N">#REF!</definedName>
    <definedName name="B9N" localSheetId="3">#REF!</definedName>
    <definedName name="B9N" localSheetId="4">#REF!</definedName>
    <definedName name="B9N" localSheetId="5">#REF!</definedName>
    <definedName name="B9N" localSheetId="6">#REF!</definedName>
    <definedName name="B9N" localSheetId="7">#REF!</definedName>
    <definedName name="B9N" localSheetId="8">#REF!</definedName>
    <definedName name="B9N" localSheetId="9">#REF!</definedName>
    <definedName name="B9N" localSheetId="2">#REF!</definedName>
    <definedName name="B9N">#REF!</definedName>
    <definedName name="Bottom_Tank" localSheetId="3">#REF!</definedName>
    <definedName name="Bottom_Tank" localSheetId="4">#REF!</definedName>
    <definedName name="Bottom_Tank" localSheetId="5">#REF!</definedName>
    <definedName name="Bottom_Tank" localSheetId="6">#REF!</definedName>
    <definedName name="Bottom_Tank" localSheetId="7">#REF!</definedName>
    <definedName name="Bottom_Tank" localSheetId="8">#REF!</definedName>
    <definedName name="Bottom_Tank" localSheetId="9">#REF!</definedName>
    <definedName name="Bottom_Tank" localSheetId="2">#REF!</definedName>
    <definedName name="Bottom_Tank">#REF!</definedName>
    <definedName name="e" localSheetId="3">#REF!</definedName>
    <definedName name="e" localSheetId="4">#REF!</definedName>
    <definedName name="e" localSheetId="5">#REF!</definedName>
    <definedName name="e" localSheetId="6">#REF!</definedName>
    <definedName name="e" localSheetId="7">#REF!</definedName>
    <definedName name="e" localSheetId="8">#REF!</definedName>
    <definedName name="e" localSheetId="9">#REF!</definedName>
    <definedName name="e" localSheetId="2">#REF!</definedName>
    <definedName name="e">#REF!</definedName>
    <definedName name="eec" localSheetId="3">#REF!</definedName>
    <definedName name="eec" localSheetId="4">#REF!</definedName>
    <definedName name="eec" localSheetId="5">#REF!</definedName>
    <definedName name="eec" localSheetId="6">#REF!</definedName>
    <definedName name="eec" localSheetId="7">#REF!</definedName>
    <definedName name="eec" localSheetId="8">#REF!</definedName>
    <definedName name="eec" localSheetId="9">#REF!</definedName>
    <definedName name="eec" localSheetId="2">#REF!</definedName>
    <definedName name="eec">#REF!</definedName>
    <definedName name="F" localSheetId="3">#REF!</definedName>
    <definedName name="F" localSheetId="4">#REF!</definedName>
    <definedName name="F" localSheetId="5">#REF!</definedName>
    <definedName name="F" localSheetId="6">#REF!</definedName>
    <definedName name="F" localSheetId="7">#REF!</definedName>
    <definedName name="F" localSheetId="8">#REF!</definedName>
    <definedName name="F" localSheetId="9">#REF!</definedName>
    <definedName name="F" localSheetId="2">#REF!</definedName>
    <definedName name="F">#REF!</definedName>
    <definedName name="fa" localSheetId="3">#REF!</definedName>
    <definedName name="fa" localSheetId="4">#REF!</definedName>
    <definedName name="fa" localSheetId="5">#REF!</definedName>
    <definedName name="fa" localSheetId="6">#REF!</definedName>
    <definedName name="fa" localSheetId="7">#REF!</definedName>
    <definedName name="fa" localSheetId="8">#REF!</definedName>
    <definedName name="fa" localSheetId="9">#REF!</definedName>
    <definedName name="fa" localSheetId="2">#REF!</definedName>
    <definedName name="fa">#REF!</definedName>
    <definedName name="fix" localSheetId="3">#REF!</definedName>
    <definedName name="fix" localSheetId="4">#REF!</definedName>
    <definedName name="fix" localSheetId="5">#REF!</definedName>
    <definedName name="fix" localSheetId="6">#REF!</definedName>
    <definedName name="fix" localSheetId="7">#REF!</definedName>
    <definedName name="fix" localSheetId="8">#REF!</definedName>
    <definedName name="fix" localSheetId="9">#REF!</definedName>
    <definedName name="fix" localSheetId="2">#REF!</definedName>
    <definedName name="fix">#REF!</definedName>
    <definedName name="form1" localSheetId="3">#REF!</definedName>
    <definedName name="form1" localSheetId="6">#REF!</definedName>
    <definedName name="form1" localSheetId="2">#REF!</definedName>
    <definedName name="form1">#REF!</definedName>
    <definedName name="g" localSheetId="3">#REF!</definedName>
    <definedName name="g" localSheetId="4">#REF!</definedName>
    <definedName name="g" localSheetId="5">#REF!</definedName>
    <definedName name="g" localSheetId="6">#REF!</definedName>
    <definedName name="g" localSheetId="7">#REF!</definedName>
    <definedName name="g" localSheetId="8">#REF!</definedName>
    <definedName name="g" localSheetId="9">#REF!</definedName>
    <definedName name="g" localSheetId="2">#REF!</definedName>
    <definedName name="g">#REF!</definedName>
    <definedName name="hgfhgfhj" localSheetId="3">'[1]summary1-2'!#REF!</definedName>
    <definedName name="hgfhgfhj" localSheetId="4">'[1]summary1-2'!#REF!</definedName>
    <definedName name="hgfhgfhj" localSheetId="5">'[1]summary1-2'!#REF!</definedName>
    <definedName name="hgfhgfhj" localSheetId="6">'[1]summary1-2'!#REF!</definedName>
    <definedName name="hgfhgfhj" localSheetId="7">'[1]summary1-2'!#REF!</definedName>
    <definedName name="hgfhgfhj" localSheetId="8">'[1]summary1-2'!#REF!</definedName>
    <definedName name="hgfhgfhj" localSheetId="9">'[1]summary1-2'!#REF!</definedName>
    <definedName name="hgfhgfhj" localSheetId="2">'[1]summary1-2'!#REF!</definedName>
    <definedName name="hgfhgfhj">'[3]summary1-2'!#REF!</definedName>
    <definedName name="ie" localSheetId="3">#REF!</definedName>
    <definedName name="ie" localSheetId="4">#REF!</definedName>
    <definedName name="ie" localSheetId="5">#REF!</definedName>
    <definedName name="ie" localSheetId="6">#REF!</definedName>
    <definedName name="ie" localSheetId="7">#REF!</definedName>
    <definedName name="ie" localSheetId="8">#REF!</definedName>
    <definedName name="ie" localSheetId="9">#REF!</definedName>
    <definedName name="ie" localSheetId="2">#REF!</definedName>
    <definedName name="ie">#REF!</definedName>
    <definedName name="l" localSheetId="3">#REF!</definedName>
    <definedName name="l" localSheetId="4">#REF!</definedName>
    <definedName name="l" localSheetId="5">#REF!</definedName>
    <definedName name="l" localSheetId="6">#REF!</definedName>
    <definedName name="l" localSheetId="7">#REF!</definedName>
    <definedName name="l" localSheetId="8">#REF!</definedName>
    <definedName name="l" localSheetId="9">#REF!</definedName>
    <definedName name="l" localSheetId="2">#REF!</definedName>
    <definedName name="l">#REF!</definedName>
    <definedName name="LC12fl" localSheetId="3">#REF!</definedName>
    <definedName name="LC12fl" localSheetId="4">#REF!</definedName>
    <definedName name="LC12fl" localSheetId="5">#REF!</definedName>
    <definedName name="LC12fl" localSheetId="6">#REF!</definedName>
    <definedName name="LC12fl" localSheetId="7">#REF!</definedName>
    <definedName name="LC12fl" localSheetId="8">#REF!</definedName>
    <definedName name="LC12fl" localSheetId="9">#REF!</definedName>
    <definedName name="LC12fl" localSheetId="2">#REF!</definedName>
    <definedName name="LC12fl">#REF!</definedName>
    <definedName name="LC23fl" localSheetId="3">#REF!</definedName>
    <definedName name="LC23fl" localSheetId="4">#REF!</definedName>
    <definedName name="LC23fl" localSheetId="5">#REF!</definedName>
    <definedName name="LC23fl" localSheetId="6">#REF!</definedName>
    <definedName name="LC23fl" localSheetId="7">#REF!</definedName>
    <definedName name="LC23fl" localSheetId="8">#REF!</definedName>
    <definedName name="LC23fl" localSheetId="9">#REF!</definedName>
    <definedName name="LC23fl" localSheetId="2">#REF!</definedName>
    <definedName name="LC23fl">#REF!</definedName>
    <definedName name="LC34fl" localSheetId="3">#REF!</definedName>
    <definedName name="LC34fl" localSheetId="4">#REF!</definedName>
    <definedName name="LC34fl" localSheetId="5">#REF!</definedName>
    <definedName name="LC34fl" localSheetId="6">#REF!</definedName>
    <definedName name="LC34fl" localSheetId="7">#REF!</definedName>
    <definedName name="LC34fl" localSheetId="8">#REF!</definedName>
    <definedName name="LC34fl" localSheetId="9">#REF!</definedName>
    <definedName name="LC34fl" localSheetId="2">#REF!</definedName>
    <definedName name="LC34fl">#REF!</definedName>
    <definedName name="LC45fl" localSheetId="3">#REF!</definedName>
    <definedName name="LC45fl" localSheetId="4">#REF!</definedName>
    <definedName name="LC45fl" localSheetId="5">#REF!</definedName>
    <definedName name="LC45fl" localSheetId="6">#REF!</definedName>
    <definedName name="LC45fl" localSheetId="7">#REF!</definedName>
    <definedName name="LC45fl" localSheetId="8">#REF!</definedName>
    <definedName name="LC45fl" localSheetId="9">#REF!</definedName>
    <definedName name="LC45fl" localSheetId="2">#REF!</definedName>
    <definedName name="LC45fl">#REF!</definedName>
    <definedName name="LC5R" localSheetId="3">#REF!</definedName>
    <definedName name="LC5R" localSheetId="4">#REF!</definedName>
    <definedName name="LC5R" localSheetId="5">#REF!</definedName>
    <definedName name="LC5R" localSheetId="6">#REF!</definedName>
    <definedName name="LC5R" localSheetId="7">#REF!</definedName>
    <definedName name="LC5R" localSheetId="8">#REF!</definedName>
    <definedName name="LC5R" localSheetId="9">#REF!</definedName>
    <definedName name="LC5R" localSheetId="2">#REF!</definedName>
    <definedName name="LC5R">#REF!</definedName>
    <definedName name="LOCAL_MYSQL_DATE_FORMAT" localSheetId="3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LOCAL_MYSQL_DATE_FORMAT" localSheetId="4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LOCAL_MYSQL_DATE_FORMAT" localSheetId="6" hidden="1">REPT([0]!LOCAL_YEAR_FORMAT,4)&amp;[0]!LOCAL_DATE_SEPARATOR&amp;REPT([0]!LOCAL_MONTH_FORMAT,2)&amp;[0]!LOCAL_DATE_SEPARATOR&amp;REPT([0]!LOCAL_DAY_FORMAT,2)&amp;" "&amp;REPT([0]!LOCAL_HOUR_FORMAT,2)&amp;[0]!LOCAL_TIME_SEPARATOR&amp;REPT([0]!LOCAL_MINUTE_FORMAT,2)&amp;[0]!LOCAL_TIME_SEPARATOR&amp;REPT([0]!LOCAL_SECOND_FORMAT,2)</definedName>
    <definedName name="LOCAL_MYSQL_DATE_FORMAT" localSheetId="8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LOCAL_MYSQL_DATE_FORMAT" localSheetId="9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LOCAL_MYSQL_DATE_FORMAT" localSheetId="2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LOCAL_MYSQL_DATE_FORMAT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MUL" localSheetId="3">'[1]summary1-3'!$T$181</definedName>
    <definedName name="MUL" localSheetId="4">'[1]summary1-3'!$T$181</definedName>
    <definedName name="MUL" localSheetId="5">'[1]summary1-3'!$T$181</definedName>
    <definedName name="MUL" localSheetId="6">'[1]summary1-3'!$T$181</definedName>
    <definedName name="MUL" localSheetId="7">'[1]summary1-3'!$T$181</definedName>
    <definedName name="MUL" localSheetId="8">'[1]summary1-3'!$T$181</definedName>
    <definedName name="MUL" localSheetId="9">'[1]summary1-3'!$T$181</definedName>
    <definedName name="MUL" localSheetId="2">'[1]summary1-3'!$T$181</definedName>
    <definedName name="MUL">'[3]summary1-3'!$T$181</definedName>
    <definedName name="NAME" localSheetId="3">'[5]1Sum '!#REF!</definedName>
    <definedName name="NAME" localSheetId="4">'[6]1Sum '!#REF!</definedName>
    <definedName name="NAME" localSheetId="5">'[6]1Sum '!#REF!</definedName>
    <definedName name="NAME" localSheetId="6">'[6]1Sum '!#REF!</definedName>
    <definedName name="NAME" localSheetId="7">'[6]1Sum '!#REF!</definedName>
    <definedName name="NAME" localSheetId="8">'[6]1Sum '!#REF!</definedName>
    <definedName name="NAME" localSheetId="9">'[6]1Sum '!#REF!</definedName>
    <definedName name="NAME" localSheetId="2">'[6]1Sum '!#REF!</definedName>
    <definedName name="NAME">'[7]1Sum '!#REF!</definedName>
    <definedName name="pname" localSheetId="3">'1.1.ST'!#REF!</definedName>
    <definedName name="pname" localSheetId="4">#REF!</definedName>
    <definedName name="pname" localSheetId="5">#REF!</definedName>
    <definedName name="pname" localSheetId="6">#REF!</definedName>
    <definedName name="pname" localSheetId="7">#REF!</definedName>
    <definedName name="pname" localSheetId="8">#REF!</definedName>
    <definedName name="pname" localSheetId="9">#REF!</definedName>
    <definedName name="pname" localSheetId="2">#REF!</definedName>
    <definedName name="pname">#REF!</definedName>
    <definedName name="_xlnm.Print_Area" localSheetId="1">' ปร.5'!$A$1:$F$70</definedName>
    <definedName name="_xlnm.Print_Area" localSheetId="0">' ปร.6'!$A$1:$D$36</definedName>
    <definedName name="_xlnm.Print_Area" localSheetId="3">'1.1.ST'!$A$1:$K$45</definedName>
    <definedName name="_xlnm.Print_Area" localSheetId="4">'1.2 AR'!$A$1:$K$164</definedName>
    <definedName name="_xlnm.Print_Area" localSheetId="5">'1.3.EE '!$A$1:$K$164</definedName>
    <definedName name="_xlnm.Print_Area" localSheetId="6">'1.4.SN '!$A$1:$K$34</definedName>
    <definedName name="_xlnm.Print_Area" localSheetId="7">'2.1.EEอุปกรณ์ประกอบอาคาร'!$A$1:$K$50</definedName>
    <definedName name="_xlnm.Print_Area" localSheetId="8">'2.2ARงานป้ายสัญลักษณ์'!$A$1:$K$29</definedName>
    <definedName name="_xlnm.Print_Area" localSheetId="9">'2.3 งานอุปกรณ์ประกอบสถาปัตยกรรม'!$A$1:$K$70</definedName>
    <definedName name="_xlnm.Print_Area" localSheetId="2">'Summary cost'!$A$1:$F$43</definedName>
    <definedName name="_xlnm.Print_Titles" localSheetId="3">'1.1.ST'!$1:$8</definedName>
    <definedName name="_xlnm.Print_Titles" localSheetId="4">'1.2 AR'!$1:$8</definedName>
    <definedName name="_xlnm.Print_Titles" localSheetId="5">'1.3.EE '!$1:$8</definedName>
    <definedName name="_xlnm.Print_Titles" localSheetId="6">'1.4.SN '!$1:$8</definedName>
    <definedName name="_xlnm.Print_Titles" localSheetId="7">'2.1.EEอุปกรณ์ประกอบอาคาร'!$1:$8</definedName>
    <definedName name="_xlnm.Print_Titles" localSheetId="8">'2.2ARงานป้ายสัญลักษณ์'!$1:$8</definedName>
    <definedName name="_xlnm.Print_Titles" localSheetId="9">'2.3 งานอุปกรณ์ประกอบสถาปัตยกรรม'!$1:$8</definedName>
    <definedName name="Roof_Tank" localSheetId="3">#REF!</definedName>
    <definedName name="Roof_Tank" localSheetId="4">#REF!</definedName>
    <definedName name="Roof_Tank" localSheetId="5">#REF!</definedName>
    <definedName name="Roof_Tank" localSheetId="6">#REF!</definedName>
    <definedName name="Roof_Tank" localSheetId="7">#REF!</definedName>
    <definedName name="Roof_Tank" localSheetId="8">#REF!</definedName>
    <definedName name="Roof_Tank" localSheetId="9">#REF!</definedName>
    <definedName name="Roof_Tank" localSheetId="2">#REF!</definedName>
    <definedName name="Roof_Tank">#REF!</definedName>
    <definedName name="s" localSheetId="3">#REF!</definedName>
    <definedName name="s" localSheetId="4">#REF!</definedName>
    <definedName name="s" localSheetId="5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2">#REF!</definedName>
    <definedName name="s">#REF!</definedName>
    <definedName name="sf" localSheetId="3">#REF!</definedName>
    <definedName name="sf" localSheetId="4">#REF!</definedName>
    <definedName name="sf" localSheetId="5">#REF!</definedName>
    <definedName name="sf" localSheetId="6">#REF!</definedName>
    <definedName name="sf" localSheetId="7">#REF!</definedName>
    <definedName name="sf" localSheetId="8">#REF!</definedName>
    <definedName name="sf" localSheetId="9">#REF!</definedName>
    <definedName name="sf" localSheetId="2">#REF!</definedName>
    <definedName name="sf">#REF!</definedName>
    <definedName name="shortp" localSheetId="4">'[8]I-slab'!#REF!</definedName>
    <definedName name="shortp" localSheetId="5">'[8]I-slab'!#REF!</definedName>
    <definedName name="shortp" localSheetId="6">'[8]I-slab'!#REF!</definedName>
    <definedName name="shortp" localSheetId="7">'[8]I-slab'!#REF!</definedName>
    <definedName name="shortp" localSheetId="8">'[8]I-slab'!#REF!</definedName>
    <definedName name="shortp" localSheetId="9">'[8]I-slab'!#REF!</definedName>
    <definedName name="shortp" localSheetId="2">'[8]I-slab'!#REF!</definedName>
    <definedName name="shortp">'[8]I-slab'!#REF!</definedName>
    <definedName name="sourse" localSheetId="3">#REF!</definedName>
    <definedName name="sourse" localSheetId="4">#REF!</definedName>
    <definedName name="sourse" localSheetId="5">#REF!</definedName>
    <definedName name="sourse" localSheetId="6">#REF!</definedName>
    <definedName name="sourse" localSheetId="7">#REF!</definedName>
    <definedName name="sourse" localSheetId="8">#REF!</definedName>
    <definedName name="sourse" localSheetId="9">#REF!</definedName>
    <definedName name="sourse" localSheetId="2">#REF!</definedName>
    <definedName name="sourse">#REF!</definedName>
    <definedName name="steel" localSheetId="3">#REF!</definedName>
    <definedName name="steel" localSheetId="4">#REF!</definedName>
    <definedName name="steel" localSheetId="5">#REF!</definedName>
    <definedName name="steel" localSheetId="6">#REF!</definedName>
    <definedName name="steel" localSheetId="7">#REF!</definedName>
    <definedName name="steel" localSheetId="8">#REF!</definedName>
    <definedName name="steel" localSheetId="9">#REF!</definedName>
    <definedName name="steel" localSheetId="2">#REF!</definedName>
    <definedName name="steel">#REF!</definedName>
    <definedName name="ttt" localSheetId="3">#REF!</definedName>
    <definedName name="ttt" localSheetId="4">#REF!</definedName>
    <definedName name="ttt" localSheetId="5">#REF!</definedName>
    <definedName name="ttt" localSheetId="6">#REF!</definedName>
    <definedName name="ttt" localSheetId="7">#REF!</definedName>
    <definedName name="ttt" localSheetId="8">#REF!</definedName>
    <definedName name="ttt" localSheetId="9">#REF!</definedName>
    <definedName name="ttt" localSheetId="2">#REF!</definedName>
    <definedName name="ttt">#REF!</definedName>
    <definedName name="W" localSheetId="3">#REF!</definedName>
    <definedName name="W" localSheetId="4">#REF!</definedName>
    <definedName name="W" localSheetId="5">#REF!</definedName>
    <definedName name="W" localSheetId="6">#REF!</definedName>
    <definedName name="W" localSheetId="7">#REF!</definedName>
    <definedName name="W" localSheetId="8">#REF!</definedName>
    <definedName name="W" localSheetId="9">#REF!</definedName>
    <definedName name="W" localSheetId="2">#REF!</definedName>
    <definedName name="W">#REF!</definedName>
    <definedName name="wall_Tank" localSheetId="3">#REF!</definedName>
    <definedName name="wall_Tank" localSheetId="4">#REF!</definedName>
    <definedName name="wall_Tank" localSheetId="5">#REF!</definedName>
    <definedName name="wall_Tank" localSheetId="6">#REF!</definedName>
    <definedName name="wall_Tank" localSheetId="7">#REF!</definedName>
    <definedName name="wall_Tank" localSheetId="8">#REF!</definedName>
    <definedName name="wall_Tank" localSheetId="9">#REF!</definedName>
    <definedName name="wall_Tank" localSheetId="2">#REF!</definedName>
    <definedName name="wall_Tank">#REF!</definedName>
    <definedName name="wq">'[3]summary1-2'!#REF!</definedName>
    <definedName name="wqretqd" localSheetId="3">#REF!</definedName>
    <definedName name="wqretqd" localSheetId="6">#REF!</definedName>
    <definedName name="wqretqd" localSheetId="2">#REF!</definedName>
    <definedName name="wqretqd">#REF!</definedName>
    <definedName name="คุ" localSheetId="3">#REF!</definedName>
    <definedName name="คุ" localSheetId="4">#REF!</definedName>
    <definedName name="คุ" localSheetId="5">#REF!</definedName>
    <definedName name="คุ" localSheetId="6">#REF!</definedName>
    <definedName name="คุ" localSheetId="7">#REF!</definedName>
    <definedName name="คุ" localSheetId="8">#REF!</definedName>
    <definedName name="คุ" localSheetId="9">#REF!</definedName>
    <definedName name="คุ" localSheetId="2">#REF!</definedName>
    <definedName name="คุ">#REF!</definedName>
    <definedName name="งานไฟฟ้า" localSheetId="3">#REF!</definedName>
    <definedName name="งานไฟฟ้า" localSheetId="4">#REF!</definedName>
    <definedName name="งานไฟฟ้า" localSheetId="5">#REF!</definedName>
    <definedName name="งานไฟฟ้า" localSheetId="6">#REF!</definedName>
    <definedName name="งานไฟฟ้า" localSheetId="7">#REF!</definedName>
    <definedName name="งานไฟฟ้า" localSheetId="8">#REF!</definedName>
    <definedName name="งานไฟฟ้า" localSheetId="9">#REF!</definedName>
    <definedName name="งานไฟฟ้า" localSheetId="2">#REF!</definedName>
    <definedName name="งานไฟฟ้า">#REF!</definedName>
    <definedName name="ด" localSheetId="3">#REF!</definedName>
    <definedName name="ด" localSheetId="4">#REF!</definedName>
    <definedName name="ด" localSheetId="5">#REF!</definedName>
    <definedName name="ด" localSheetId="6">#REF!</definedName>
    <definedName name="ด" localSheetId="7">#REF!</definedName>
    <definedName name="ด" localSheetId="8">#REF!</definedName>
    <definedName name="ด" localSheetId="9">#REF!</definedName>
    <definedName name="ด" localSheetId="2">#REF!</definedName>
    <definedName name="ด">#REF!</definedName>
    <definedName name="ป" localSheetId="3">#REF!</definedName>
    <definedName name="ป" localSheetId="4">#REF!</definedName>
    <definedName name="ป" localSheetId="5">#REF!</definedName>
    <definedName name="ป" localSheetId="6">#REF!</definedName>
    <definedName name="ป" localSheetId="7">#REF!</definedName>
    <definedName name="ป" localSheetId="8">#REF!</definedName>
    <definedName name="ป" localSheetId="9">#REF!</definedName>
    <definedName name="ป" localSheetId="2">#REF!</definedName>
    <definedName name="ป">#REF!</definedName>
    <definedName name="ไฟฟ้า_ภายใน" localSheetId="3">#REF!</definedName>
    <definedName name="ไฟฟ้า_ภายใน" localSheetId="4">#REF!</definedName>
    <definedName name="ไฟฟ้า_ภายใน" localSheetId="5">#REF!</definedName>
    <definedName name="ไฟฟ้า_ภายใน" localSheetId="6">#REF!</definedName>
    <definedName name="ไฟฟ้า_ภายใน" localSheetId="7">#REF!</definedName>
    <definedName name="ไฟฟ้า_ภายใน" localSheetId="8">#REF!</definedName>
    <definedName name="ไฟฟ้า_ภายใน" localSheetId="9">#REF!</definedName>
    <definedName name="ไฟฟ้า_ภายใน" localSheetId="2">#REF!</definedName>
    <definedName name="ไฟฟ้า_ภายใน">#REF!</definedName>
    <definedName name="ภายใน" localSheetId="3">#REF!</definedName>
    <definedName name="ภายใน" localSheetId="4">#REF!</definedName>
    <definedName name="ภายใน" localSheetId="5">#REF!</definedName>
    <definedName name="ภายใน" localSheetId="6">#REF!</definedName>
    <definedName name="ภายใน" localSheetId="7">#REF!</definedName>
    <definedName name="ภายใน" localSheetId="8">#REF!</definedName>
    <definedName name="ภายใน" localSheetId="9">#REF!</definedName>
    <definedName name="ภายใน" localSheetId="2">#REF!</definedName>
    <definedName name="ภายใน">#REF!</definedName>
    <definedName name="หหหก" localSheetId="3">#REF!</definedName>
    <definedName name="หหหก" localSheetId="6">#REF!</definedName>
    <definedName name="หหหก" localSheetId="2">#REF!</definedName>
    <definedName name="หหหก">#REF!</definedName>
    <definedName name="อ" localSheetId="3">#REF!</definedName>
    <definedName name="อ" localSheetId="4">#REF!</definedName>
    <definedName name="อ" localSheetId="5">#REF!</definedName>
    <definedName name="อ" localSheetId="6">#REF!</definedName>
    <definedName name="อ" localSheetId="7">#REF!</definedName>
    <definedName name="อ" localSheetId="8">#REF!</definedName>
    <definedName name="อ" localSheetId="9">#REF!</definedName>
    <definedName name="อ" localSheetId="2">#REF!</definedName>
    <definedName name="อ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2" i="37" l="1"/>
  <c r="A2" i="36"/>
  <c r="A2" i="28"/>
  <c r="A2" i="32"/>
  <c r="A2" i="27"/>
  <c r="A2" i="33"/>
  <c r="A2" i="35"/>
  <c r="E30" i="31"/>
  <c r="J164" i="35" l="1"/>
  <c r="J163" i="35"/>
  <c r="J99" i="35"/>
  <c r="J90" i="35"/>
  <c r="J66" i="35"/>
  <c r="J58" i="35"/>
  <c r="J34" i="35"/>
  <c r="J25" i="35"/>
  <c r="J160" i="27"/>
  <c r="J50" i="28"/>
  <c r="J49" i="28"/>
  <c r="J34" i="28"/>
  <c r="J26" i="28"/>
  <c r="J22" i="28"/>
  <c r="J14" i="28"/>
  <c r="G34" i="32"/>
  <c r="I34" i="32"/>
  <c r="J34" i="32"/>
  <c r="I13" i="32"/>
  <c r="G13" i="32"/>
  <c r="I22" i="35"/>
  <c r="G22" i="35"/>
  <c r="J22" i="35" s="1"/>
  <c r="I28" i="35"/>
  <c r="G96" i="27"/>
  <c r="G95" i="27"/>
  <c r="G160" i="27"/>
  <c r="I20" i="28"/>
  <c r="G20" i="28"/>
  <c r="J20" i="28" s="1"/>
  <c r="J13" i="32" l="1"/>
  <c r="G28" i="35"/>
  <c r="J28" i="35" s="1"/>
  <c r="I91" i="27"/>
  <c r="G91" i="27"/>
  <c r="J91" i="27" s="1"/>
  <c r="I81" i="27"/>
  <c r="G81" i="27"/>
  <c r="J81" i="27" l="1"/>
  <c r="I69" i="37"/>
  <c r="G69" i="37"/>
  <c r="I68" i="37"/>
  <c r="G68" i="37"/>
  <c r="J68" i="37" s="1"/>
  <c r="I66" i="37"/>
  <c r="G66" i="37"/>
  <c r="I65" i="37"/>
  <c r="G65" i="37"/>
  <c r="I64" i="37"/>
  <c r="G64" i="37"/>
  <c r="J64" i="37" s="1"/>
  <c r="I63" i="37"/>
  <c r="G63" i="37"/>
  <c r="I62" i="37"/>
  <c r="G62" i="37"/>
  <c r="I61" i="37"/>
  <c r="G61" i="37"/>
  <c r="I59" i="37"/>
  <c r="G59" i="37"/>
  <c r="I58" i="37"/>
  <c r="G58" i="37"/>
  <c r="I57" i="37"/>
  <c r="F57" i="37"/>
  <c r="G57" i="37" s="1"/>
  <c r="I56" i="37"/>
  <c r="G56" i="37"/>
  <c r="J56" i="37" s="1"/>
  <c r="I55" i="37"/>
  <c r="G55" i="37"/>
  <c r="I53" i="37"/>
  <c r="G53" i="37"/>
  <c r="I52" i="37"/>
  <c r="G52" i="37"/>
  <c r="J52" i="37" s="1"/>
  <c r="I51" i="37"/>
  <c r="F51" i="37"/>
  <c r="G51" i="37" s="1"/>
  <c r="I50" i="37"/>
  <c r="G50" i="37"/>
  <c r="I49" i="37"/>
  <c r="G49" i="37"/>
  <c r="I47" i="37"/>
  <c r="F47" i="37"/>
  <c r="G47" i="37" s="1"/>
  <c r="I46" i="37"/>
  <c r="F46" i="37"/>
  <c r="G46" i="37" s="1"/>
  <c r="I45" i="37"/>
  <c r="G45" i="37"/>
  <c r="J45" i="37" s="1"/>
  <c r="I44" i="37"/>
  <c r="F44" i="37"/>
  <c r="G44" i="37" s="1"/>
  <c r="I43" i="37"/>
  <c r="G43" i="37"/>
  <c r="I42" i="37"/>
  <c r="G42" i="37"/>
  <c r="I41" i="37"/>
  <c r="G41" i="37"/>
  <c r="I40" i="37"/>
  <c r="G40" i="37"/>
  <c r="J40" i="37" s="1"/>
  <c r="I37" i="37"/>
  <c r="G37" i="37"/>
  <c r="J37" i="37" s="1"/>
  <c r="I36" i="37"/>
  <c r="G36" i="37"/>
  <c r="J36" i="37" s="1"/>
  <c r="I35" i="37"/>
  <c r="G35" i="37"/>
  <c r="I32" i="37"/>
  <c r="G32" i="37"/>
  <c r="I31" i="37"/>
  <c r="G31" i="37"/>
  <c r="I30" i="37"/>
  <c r="G30" i="37"/>
  <c r="I27" i="37"/>
  <c r="G27" i="37"/>
  <c r="I26" i="37"/>
  <c r="G26" i="37"/>
  <c r="I25" i="37"/>
  <c r="G25" i="37"/>
  <c r="I22" i="37"/>
  <c r="G22" i="37"/>
  <c r="J22" i="37" s="1"/>
  <c r="I21" i="37"/>
  <c r="G21" i="37"/>
  <c r="I20" i="37"/>
  <c r="G20" i="37"/>
  <c r="I18" i="37"/>
  <c r="G18" i="37"/>
  <c r="I17" i="37"/>
  <c r="G17" i="37"/>
  <c r="I16" i="37"/>
  <c r="G16" i="37"/>
  <c r="J16" i="37" s="1"/>
  <c r="I14" i="37"/>
  <c r="G14" i="37"/>
  <c r="J14" i="37" s="1"/>
  <c r="I13" i="37"/>
  <c r="G13" i="37"/>
  <c r="J13" i="37" s="1"/>
  <c r="I12" i="37"/>
  <c r="G12" i="37"/>
  <c r="I28" i="36"/>
  <c r="G28" i="36"/>
  <c r="J28" i="36" s="1"/>
  <c r="I27" i="36"/>
  <c r="G27" i="36"/>
  <c r="I26" i="36"/>
  <c r="G26" i="36"/>
  <c r="I24" i="36"/>
  <c r="G24" i="36"/>
  <c r="I23" i="36"/>
  <c r="G23" i="36"/>
  <c r="I22" i="36"/>
  <c r="G22" i="36"/>
  <c r="J22" i="36" s="1"/>
  <c r="I20" i="36"/>
  <c r="G20" i="36"/>
  <c r="J20" i="36" s="1"/>
  <c r="I19" i="36"/>
  <c r="G19" i="36"/>
  <c r="I18" i="36"/>
  <c r="G18" i="36"/>
  <c r="J18" i="36" s="1"/>
  <c r="I16" i="36"/>
  <c r="G16" i="36"/>
  <c r="J16" i="36" s="1"/>
  <c r="I15" i="36"/>
  <c r="G15" i="36"/>
  <c r="J15" i="36" s="1"/>
  <c r="I14" i="36"/>
  <c r="G14" i="36"/>
  <c r="J14" i="36" s="1"/>
  <c r="I13" i="36"/>
  <c r="G13" i="36"/>
  <c r="I12" i="36"/>
  <c r="G12" i="36"/>
  <c r="J26" i="37" l="1"/>
  <c r="J35" i="37"/>
  <c r="J46" i="37"/>
  <c r="J58" i="37"/>
  <c r="J47" i="37"/>
  <c r="J69" i="37"/>
  <c r="J27" i="36"/>
  <c r="J50" i="37"/>
  <c r="J62" i="37"/>
  <c r="J18" i="37"/>
  <c r="J25" i="37"/>
  <c r="J49" i="37"/>
  <c r="J17" i="37"/>
  <c r="J30" i="37"/>
  <c r="J53" i="37"/>
  <c r="J65" i="37"/>
  <c r="J57" i="37"/>
  <c r="J63" i="37"/>
  <c r="J59" i="37"/>
  <c r="J31" i="37"/>
  <c r="J27" i="37"/>
  <c r="J51" i="37"/>
  <c r="J41" i="37"/>
  <c r="J61" i="37"/>
  <c r="J42" i="37"/>
  <c r="I70" i="37"/>
  <c r="J20" i="37"/>
  <c r="J43" i="37"/>
  <c r="J32" i="37"/>
  <c r="J21" i="37"/>
  <c r="J55" i="37"/>
  <c r="J66" i="37"/>
  <c r="J44" i="37"/>
  <c r="G70" i="37"/>
  <c r="J12" i="37"/>
  <c r="J23" i="36"/>
  <c r="J13" i="36"/>
  <c r="J26" i="36"/>
  <c r="G29" i="36"/>
  <c r="J24" i="36"/>
  <c r="I29" i="36"/>
  <c r="J19" i="36"/>
  <c r="J12" i="36"/>
  <c r="H49" i="28"/>
  <c r="I48" i="28"/>
  <c r="G48" i="28"/>
  <c r="J29" i="36" l="1"/>
  <c r="E28" i="31" s="1"/>
  <c r="J70" i="37"/>
  <c r="E29" i="31" s="1"/>
  <c r="J48" i="28"/>
  <c r="D162" i="35" l="1"/>
  <c r="I162" i="35" s="1"/>
  <c r="I161" i="35"/>
  <c r="G161" i="35"/>
  <c r="J161" i="35" s="1"/>
  <c r="I160" i="35"/>
  <c r="F160" i="35"/>
  <c r="G160" i="35" s="1"/>
  <c r="I159" i="35"/>
  <c r="F159" i="35"/>
  <c r="G159" i="35" s="1"/>
  <c r="I157" i="35"/>
  <c r="F157" i="35"/>
  <c r="G157" i="35" s="1"/>
  <c r="I156" i="35"/>
  <c r="F156" i="35"/>
  <c r="G156" i="35" s="1"/>
  <c r="J156" i="35" s="1"/>
  <c r="I154" i="35"/>
  <c r="G154" i="35"/>
  <c r="J154" i="35" s="1"/>
  <c r="I153" i="35"/>
  <c r="F153" i="35"/>
  <c r="G153" i="35" s="1"/>
  <c r="I152" i="35"/>
  <c r="F152" i="35"/>
  <c r="G152" i="35" s="1"/>
  <c r="I150" i="35"/>
  <c r="F150" i="35"/>
  <c r="G150" i="35" s="1"/>
  <c r="J150" i="35" s="1"/>
  <c r="I149" i="35"/>
  <c r="F149" i="35"/>
  <c r="G149" i="35" s="1"/>
  <c r="I147" i="35"/>
  <c r="G147" i="35"/>
  <c r="I146" i="35"/>
  <c r="F146" i="35"/>
  <c r="G146" i="35" s="1"/>
  <c r="J146" i="35" s="1"/>
  <c r="I145" i="35"/>
  <c r="F145" i="35"/>
  <c r="G145" i="35" s="1"/>
  <c r="I142" i="35"/>
  <c r="G142" i="35"/>
  <c r="I141" i="35"/>
  <c r="F141" i="35"/>
  <c r="G141" i="35" s="1"/>
  <c r="J141" i="35" s="1"/>
  <c r="I140" i="35"/>
  <c r="F140" i="35"/>
  <c r="G140" i="35" s="1"/>
  <c r="J140" i="35" s="1"/>
  <c r="I139" i="35"/>
  <c r="F139" i="35"/>
  <c r="G139" i="35" s="1"/>
  <c r="I137" i="35"/>
  <c r="F137" i="35"/>
  <c r="G137" i="35" s="1"/>
  <c r="I136" i="35"/>
  <c r="F136" i="35"/>
  <c r="G136" i="35" s="1"/>
  <c r="J136" i="35" s="1"/>
  <c r="I135" i="35"/>
  <c r="F135" i="35"/>
  <c r="G135" i="35" s="1"/>
  <c r="I133" i="35"/>
  <c r="G133" i="35"/>
  <c r="J133" i="35" s="1"/>
  <c r="I132" i="35"/>
  <c r="G132" i="35"/>
  <c r="J132" i="35" s="1"/>
  <c r="I131" i="35"/>
  <c r="F131" i="35"/>
  <c r="G131" i="35" s="1"/>
  <c r="J131" i="35" s="1"/>
  <c r="I128" i="35"/>
  <c r="G128" i="35"/>
  <c r="J128" i="35" s="1"/>
  <c r="I127" i="35"/>
  <c r="F127" i="35"/>
  <c r="G127" i="35" s="1"/>
  <c r="I126" i="35"/>
  <c r="F126" i="35"/>
  <c r="G126" i="35" s="1"/>
  <c r="J126" i="35" s="1"/>
  <c r="I125" i="35"/>
  <c r="F125" i="35"/>
  <c r="G125" i="35" s="1"/>
  <c r="J125" i="35" s="1"/>
  <c r="I123" i="35"/>
  <c r="F123" i="35"/>
  <c r="G123" i="35" s="1"/>
  <c r="J123" i="35" s="1"/>
  <c r="I122" i="35"/>
  <c r="F122" i="35"/>
  <c r="G122" i="35" s="1"/>
  <c r="I121" i="35"/>
  <c r="F121" i="35"/>
  <c r="G121" i="35" s="1"/>
  <c r="I119" i="35"/>
  <c r="G119" i="35"/>
  <c r="J119" i="35" s="1"/>
  <c r="I118" i="35"/>
  <c r="G118" i="35"/>
  <c r="J118" i="35" s="1"/>
  <c r="I117" i="35"/>
  <c r="F117" i="35"/>
  <c r="G117" i="35" s="1"/>
  <c r="J117" i="35" s="1"/>
  <c r="I114" i="35"/>
  <c r="F114" i="35"/>
  <c r="G114" i="35" s="1"/>
  <c r="I113" i="35"/>
  <c r="F113" i="35"/>
  <c r="G113" i="35" s="1"/>
  <c r="J113" i="35" s="1"/>
  <c r="I112" i="35"/>
  <c r="F112" i="35"/>
  <c r="G112" i="35" s="1"/>
  <c r="I110" i="35"/>
  <c r="G110" i="35"/>
  <c r="I109" i="35"/>
  <c r="G109" i="35"/>
  <c r="J109" i="35" s="1"/>
  <c r="I108" i="35"/>
  <c r="F108" i="35"/>
  <c r="G108" i="35" s="1"/>
  <c r="J108" i="35" s="1"/>
  <c r="I107" i="35"/>
  <c r="F107" i="35"/>
  <c r="G107" i="35" s="1"/>
  <c r="I105" i="35"/>
  <c r="G105" i="35"/>
  <c r="J105" i="35" s="1"/>
  <c r="I103" i="35"/>
  <c r="G103" i="35"/>
  <c r="I102" i="35"/>
  <c r="G102" i="35"/>
  <c r="J102" i="35" s="1"/>
  <c r="I98" i="35"/>
  <c r="G98" i="35"/>
  <c r="D97" i="35"/>
  <c r="I97" i="35" s="1"/>
  <c r="D96" i="35"/>
  <c r="I96" i="35" s="1"/>
  <c r="D95" i="35"/>
  <c r="G95" i="35" s="1"/>
  <c r="J93" i="35"/>
  <c r="I93" i="35"/>
  <c r="G93" i="35"/>
  <c r="I89" i="35"/>
  <c r="G89" i="35"/>
  <c r="J89" i="35" s="1"/>
  <c r="I88" i="35"/>
  <c r="G88" i="35"/>
  <c r="J88" i="35" s="1"/>
  <c r="I87" i="35"/>
  <c r="G87" i="35"/>
  <c r="I86" i="35"/>
  <c r="G86" i="35"/>
  <c r="I85" i="35"/>
  <c r="G85" i="35"/>
  <c r="I84" i="35"/>
  <c r="G84" i="35"/>
  <c r="I83" i="35"/>
  <c r="G83" i="35"/>
  <c r="J83" i="35" s="1"/>
  <c r="I82" i="35"/>
  <c r="G82" i="35"/>
  <c r="J82" i="35" s="1"/>
  <c r="I81" i="35"/>
  <c r="G81" i="35"/>
  <c r="J81" i="35" s="1"/>
  <c r="I80" i="35"/>
  <c r="G80" i="35"/>
  <c r="I79" i="35"/>
  <c r="G79" i="35"/>
  <c r="I78" i="35"/>
  <c r="G78" i="35"/>
  <c r="J78" i="35" s="1"/>
  <c r="I77" i="35"/>
  <c r="G77" i="35"/>
  <c r="I76" i="35"/>
  <c r="G76" i="35"/>
  <c r="I75" i="35"/>
  <c r="G75" i="35"/>
  <c r="I74" i="35"/>
  <c r="G74" i="35"/>
  <c r="I73" i="35"/>
  <c r="G73" i="35"/>
  <c r="I72" i="35"/>
  <c r="G72" i="35"/>
  <c r="J72" i="35" s="1"/>
  <c r="I71" i="35"/>
  <c r="G71" i="35"/>
  <c r="I70" i="35"/>
  <c r="G70" i="35"/>
  <c r="J70" i="35" s="1"/>
  <c r="I69" i="35"/>
  <c r="G69" i="35"/>
  <c r="J69" i="35" s="1"/>
  <c r="I68" i="35"/>
  <c r="G68" i="35"/>
  <c r="I65" i="35"/>
  <c r="G65" i="35"/>
  <c r="I64" i="35"/>
  <c r="G64" i="35"/>
  <c r="J64" i="35" s="1"/>
  <c r="D63" i="35"/>
  <c r="I63" i="35" s="1"/>
  <c r="D62" i="35"/>
  <c r="I62" i="35" s="1"/>
  <c r="I61" i="35"/>
  <c r="G61" i="35"/>
  <c r="D60" i="35"/>
  <c r="I60" i="35" s="1"/>
  <c r="I57" i="35"/>
  <c r="G57" i="35"/>
  <c r="I56" i="35"/>
  <c r="G56" i="35"/>
  <c r="I55" i="35"/>
  <c r="G55" i="35"/>
  <c r="I54" i="35"/>
  <c r="G54" i="35"/>
  <c r="I53" i="35"/>
  <c r="G53" i="35"/>
  <c r="J53" i="35" s="1"/>
  <c r="D52" i="35"/>
  <c r="G52" i="35" s="1"/>
  <c r="D51" i="35"/>
  <c r="I51" i="35" s="1"/>
  <c r="D50" i="35"/>
  <c r="I50" i="35" s="1"/>
  <c r="D49" i="35"/>
  <c r="G49" i="35" s="1"/>
  <c r="I48" i="35"/>
  <c r="G48" i="35"/>
  <c r="D47" i="35"/>
  <c r="G47" i="35" s="1"/>
  <c r="D46" i="35"/>
  <c r="I46" i="35" s="1"/>
  <c r="D45" i="35"/>
  <c r="I45" i="35" s="1"/>
  <c r="D44" i="35"/>
  <c r="I44" i="35" s="1"/>
  <c r="I43" i="35"/>
  <c r="G43" i="35"/>
  <c r="I42" i="35"/>
  <c r="G42" i="35"/>
  <c r="I41" i="35"/>
  <c r="G41" i="35"/>
  <c r="D40" i="35"/>
  <c r="I40" i="35" s="1"/>
  <c r="D39" i="35"/>
  <c r="I39" i="35" s="1"/>
  <c r="D38" i="35"/>
  <c r="I38" i="35" s="1"/>
  <c r="F37" i="35"/>
  <c r="D37" i="35"/>
  <c r="I37" i="35" s="1"/>
  <c r="D36" i="35"/>
  <c r="I36" i="35" s="1"/>
  <c r="D33" i="35"/>
  <c r="I33" i="35" s="1"/>
  <c r="D32" i="35"/>
  <c r="G32" i="35" s="1"/>
  <c r="D31" i="35"/>
  <c r="D30" i="35"/>
  <c r="G30" i="35" s="1"/>
  <c r="D29" i="35"/>
  <c r="I29" i="35" s="1"/>
  <c r="D27" i="35"/>
  <c r="I27" i="35" s="1"/>
  <c r="I23" i="35"/>
  <c r="G23" i="35"/>
  <c r="I21" i="35"/>
  <c r="G21" i="35"/>
  <c r="I20" i="35"/>
  <c r="G20" i="35"/>
  <c r="I19" i="35"/>
  <c r="G19" i="35"/>
  <c r="I18" i="35"/>
  <c r="G18" i="35"/>
  <c r="J18" i="35" s="1"/>
  <c r="I17" i="35"/>
  <c r="G17" i="35"/>
  <c r="I16" i="35"/>
  <c r="G16" i="35"/>
  <c r="I15" i="35"/>
  <c r="G15" i="35"/>
  <c r="I14" i="35"/>
  <c r="G14" i="35"/>
  <c r="I13" i="35"/>
  <c r="G13" i="35"/>
  <c r="K27" i="31"/>
  <c r="J17" i="35" l="1"/>
  <c r="J112" i="35"/>
  <c r="J71" i="35"/>
  <c r="J157" i="35"/>
  <c r="J145" i="35"/>
  <c r="J159" i="35"/>
  <c r="J48" i="35"/>
  <c r="J137" i="35"/>
  <c r="J152" i="35"/>
  <c r="J41" i="35"/>
  <c r="J55" i="35"/>
  <c r="J20" i="35"/>
  <c r="J42" i="35"/>
  <c r="J56" i="35"/>
  <c r="J21" i="35"/>
  <c r="J57" i="35"/>
  <c r="J85" i="35"/>
  <c r="J86" i="35"/>
  <c r="J73" i="35"/>
  <c r="J74" i="35"/>
  <c r="J84" i="35"/>
  <c r="J76" i="35"/>
  <c r="J19" i="35"/>
  <c r="J65" i="35"/>
  <c r="J77" i="35"/>
  <c r="J16" i="35"/>
  <c r="J107" i="35"/>
  <c r="J135" i="35"/>
  <c r="G46" i="35"/>
  <c r="J46" i="35" s="1"/>
  <c r="J79" i="35"/>
  <c r="J142" i="35"/>
  <c r="J80" i="35"/>
  <c r="G60" i="35"/>
  <c r="J60" i="35" s="1"/>
  <c r="I47" i="35"/>
  <c r="J47" i="35" s="1"/>
  <c r="J121" i="35"/>
  <c r="I30" i="35"/>
  <c r="J30" i="35" s="1"/>
  <c r="I95" i="35"/>
  <c r="I99" i="35" s="1"/>
  <c r="J110" i="35"/>
  <c r="J122" i="35"/>
  <c r="J147" i="35"/>
  <c r="J160" i="35"/>
  <c r="J127" i="35"/>
  <c r="J14" i="35"/>
  <c r="J149" i="35"/>
  <c r="I52" i="35"/>
  <c r="J52" i="35" s="1"/>
  <c r="J75" i="35"/>
  <c r="J98" i="35"/>
  <c r="J103" i="35"/>
  <c r="G96" i="35"/>
  <c r="J96" i="35" s="1"/>
  <c r="J13" i="35"/>
  <c r="J23" i="35"/>
  <c r="J43" i="35"/>
  <c r="J54" i="35"/>
  <c r="J114" i="35"/>
  <c r="J139" i="35"/>
  <c r="J153" i="35"/>
  <c r="J61" i="35"/>
  <c r="I66" i="35"/>
  <c r="I25" i="35"/>
  <c r="G90" i="35"/>
  <c r="I31" i="35"/>
  <c r="G31" i="35"/>
  <c r="I90" i="35"/>
  <c r="G37" i="35"/>
  <c r="J37" i="35" s="1"/>
  <c r="J87" i="35"/>
  <c r="G25" i="35"/>
  <c r="I163" i="35"/>
  <c r="J15" i="35"/>
  <c r="G38" i="35"/>
  <c r="J38" i="35" s="1"/>
  <c r="I32" i="35"/>
  <c r="J32" i="35" s="1"/>
  <c r="I49" i="35"/>
  <c r="J49" i="35" s="1"/>
  <c r="G27" i="35"/>
  <c r="G39" i="35"/>
  <c r="J39" i="35" s="1"/>
  <c r="G45" i="35"/>
  <c r="J45" i="35" s="1"/>
  <c r="G162" i="35"/>
  <c r="J162" i="35" s="1"/>
  <c r="G62" i="35"/>
  <c r="J62" i="35" s="1"/>
  <c r="G50" i="35"/>
  <c r="J50" i="35" s="1"/>
  <c r="G29" i="35"/>
  <c r="J29" i="35" s="1"/>
  <c r="G40" i="35"/>
  <c r="J40" i="35" s="1"/>
  <c r="G51" i="35"/>
  <c r="J51" i="35" s="1"/>
  <c r="G97" i="35"/>
  <c r="J97" i="35" s="1"/>
  <c r="J68" i="35"/>
  <c r="G44" i="35"/>
  <c r="J44" i="35" s="1"/>
  <c r="G63" i="35"/>
  <c r="J63" i="35" s="1"/>
  <c r="G36" i="35"/>
  <c r="G33" i="35"/>
  <c r="J33" i="35" s="1"/>
  <c r="J31" i="35" l="1"/>
  <c r="G163" i="35"/>
  <c r="J95" i="35"/>
  <c r="I34" i="35"/>
  <c r="G99" i="35"/>
  <c r="G34" i="35"/>
  <c r="J27" i="35"/>
  <c r="G66" i="35"/>
  <c r="J36" i="35"/>
  <c r="G58" i="35"/>
  <c r="I58" i="35"/>
  <c r="A38" i="11"/>
  <c r="E13" i="31" l="1"/>
  <c r="I164" i="35"/>
  <c r="E24" i="31"/>
  <c r="G164" i="35"/>
  <c r="I162" i="27" l="1"/>
  <c r="G162" i="27"/>
  <c r="I126" i="27"/>
  <c r="I127" i="27"/>
  <c r="I128" i="27"/>
  <c r="I129" i="27"/>
  <c r="I130" i="27"/>
  <c r="I131" i="27"/>
  <c r="I132" i="27"/>
  <c r="I133" i="27"/>
  <c r="I134" i="27"/>
  <c r="I135" i="27"/>
  <c r="J135" i="27" s="1"/>
  <c r="I136" i="27"/>
  <c r="I137" i="27"/>
  <c r="I138" i="27"/>
  <c r="I139" i="27"/>
  <c r="I140" i="27"/>
  <c r="G126" i="27"/>
  <c r="G127" i="27"/>
  <c r="G128" i="27"/>
  <c r="G129" i="27"/>
  <c r="G130" i="27"/>
  <c r="G131" i="27"/>
  <c r="G132" i="27"/>
  <c r="G133" i="27"/>
  <c r="G134" i="27"/>
  <c r="G135" i="27"/>
  <c r="G136" i="27"/>
  <c r="G137" i="27"/>
  <c r="G138" i="27"/>
  <c r="G139" i="27"/>
  <c r="G140" i="27"/>
  <c r="I125" i="27"/>
  <c r="G125" i="27"/>
  <c r="I109" i="27"/>
  <c r="I110" i="27"/>
  <c r="I111" i="27"/>
  <c r="I112" i="27"/>
  <c r="I113" i="27"/>
  <c r="I114" i="27"/>
  <c r="J114" i="27" s="1"/>
  <c r="I115" i="27"/>
  <c r="I116" i="27"/>
  <c r="I117" i="27"/>
  <c r="I118" i="27"/>
  <c r="I119" i="27"/>
  <c r="I120" i="27"/>
  <c r="I121" i="27"/>
  <c r="G109" i="27"/>
  <c r="G110" i="27"/>
  <c r="G111" i="27"/>
  <c r="G112" i="27"/>
  <c r="G113" i="27"/>
  <c r="G114" i="27"/>
  <c r="G115" i="27"/>
  <c r="G116" i="27"/>
  <c r="G117" i="27"/>
  <c r="G118" i="27"/>
  <c r="G119" i="27"/>
  <c r="G120" i="27"/>
  <c r="G121" i="27"/>
  <c r="I108" i="27"/>
  <c r="G108" i="27"/>
  <c r="J108" i="27" s="1"/>
  <c r="I104" i="27"/>
  <c r="G104" i="27"/>
  <c r="I87" i="27"/>
  <c r="I88" i="27"/>
  <c r="I89" i="27"/>
  <c r="I90" i="27"/>
  <c r="I92" i="27"/>
  <c r="I93" i="27"/>
  <c r="I94" i="27"/>
  <c r="I95" i="27"/>
  <c r="I96" i="27"/>
  <c r="J96" i="27" s="1"/>
  <c r="I97" i="27"/>
  <c r="I98" i="27"/>
  <c r="I99" i="27"/>
  <c r="I100" i="27"/>
  <c r="G87" i="27"/>
  <c r="G88" i="27"/>
  <c r="G89" i="27"/>
  <c r="G90" i="27"/>
  <c r="G92" i="27"/>
  <c r="G93" i="27"/>
  <c r="G94" i="27"/>
  <c r="G97" i="27"/>
  <c r="G98" i="27"/>
  <c r="G99" i="27"/>
  <c r="G100" i="27"/>
  <c r="G101" i="27"/>
  <c r="J101" i="27" s="1"/>
  <c r="G86" i="27"/>
  <c r="I86" i="27"/>
  <c r="I77" i="27"/>
  <c r="G77" i="27"/>
  <c r="I78" i="27"/>
  <c r="I79" i="27"/>
  <c r="I80" i="27"/>
  <c r="I82" i="27"/>
  <c r="G78" i="27"/>
  <c r="G79" i="27"/>
  <c r="G80" i="27"/>
  <c r="G82" i="27"/>
  <c r="I146" i="27"/>
  <c r="I160" i="27" s="1"/>
  <c r="G72" i="27"/>
  <c r="G73" i="27"/>
  <c r="I72" i="27"/>
  <c r="I73" i="27"/>
  <c r="I71" i="27"/>
  <c r="G71" i="27"/>
  <c r="G52" i="27"/>
  <c r="G53" i="27"/>
  <c r="G54" i="27"/>
  <c r="G55" i="27"/>
  <c r="G56" i="27"/>
  <c r="G57" i="27"/>
  <c r="G58" i="27"/>
  <c r="I52" i="27"/>
  <c r="I53" i="27"/>
  <c r="I54" i="27"/>
  <c r="I55" i="27"/>
  <c r="I56" i="27"/>
  <c r="I57" i="27"/>
  <c r="I58" i="27"/>
  <c r="I51" i="27"/>
  <c r="G51" i="27"/>
  <c r="J51" i="27" s="1"/>
  <c r="I40" i="27"/>
  <c r="I41" i="27"/>
  <c r="I42" i="27"/>
  <c r="I43" i="27"/>
  <c r="I44" i="27"/>
  <c r="I45" i="27"/>
  <c r="I46" i="27"/>
  <c r="G40" i="27"/>
  <c r="G41" i="27"/>
  <c r="G42" i="27"/>
  <c r="G43" i="27"/>
  <c r="J43" i="27" s="1"/>
  <c r="G44" i="27"/>
  <c r="G45" i="27"/>
  <c r="G46" i="27"/>
  <c r="G47" i="27"/>
  <c r="J47" i="27" s="1"/>
  <c r="I39" i="27"/>
  <c r="G39" i="27"/>
  <c r="J139" i="27" l="1"/>
  <c r="J138" i="27"/>
  <c r="J73" i="27"/>
  <c r="J99" i="27"/>
  <c r="J134" i="27"/>
  <c r="J98" i="27"/>
  <c r="J97" i="27"/>
  <c r="J128" i="27"/>
  <c r="J100" i="27"/>
  <c r="J137" i="27"/>
  <c r="J116" i="27"/>
  <c r="J131" i="27"/>
  <c r="J118" i="27"/>
  <c r="J115" i="27"/>
  <c r="J130" i="27"/>
  <c r="J93" i="27"/>
  <c r="J117" i="27"/>
  <c r="J53" i="27"/>
  <c r="J112" i="27"/>
  <c r="J113" i="27"/>
  <c r="J125" i="27"/>
  <c r="G141" i="27"/>
  <c r="J90" i="27"/>
  <c r="J40" i="27"/>
  <c r="J52" i="27"/>
  <c r="J86" i="27"/>
  <c r="J92" i="27"/>
  <c r="J44" i="27"/>
  <c r="J136" i="27"/>
  <c r="J132" i="27"/>
  <c r="J111" i="27"/>
  <c r="J95" i="27"/>
  <c r="J82" i="27"/>
  <c r="J94" i="27"/>
  <c r="J121" i="27"/>
  <c r="J120" i="27"/>
  <c r="J89" i="27"/>
  <c r="J119" i="27"/>
  <c r="J162" i="27"/>
  <c r="J163" i="27" s="1"/>
  <c r="J41" i="27"/>
  <c r="J42" i="27"/>
  <c r="J129" i="27"/>
  <c r="J88" i="27"/>
  <c r="J140" i="27"/>
  <c r="J39" i="27"/>
  <c r="J71" i="27"/>
  <c r="J75" i="27" s="1"/>
  <c r="J126" i="27"/>
  <c r="J110" i="27"/>
  <c r="J45" i="27"/>
  <c r="J80" i="27"/>
  <c r="J109" i="27"/>
  <c r="J77" i="27"/>
  <c r="G83" i="27"/>
  <c r="J46" i="27"/>
  <c r="J79" i="27"/>
  <c r="J104" i="27"/>
  <c r="J105" i="27" s="1"/>
  <c r="J133" i="27"/>
  <c r="J78" i="27"/>
  <c r="J127" i="27"/>
  <c r="J87" i="27"/>
  <c r="J55" i="27"/>
  <c r="J54" i="27"/>
  <c r="J72" i="27"/>
  <c r="J57" i="27"/>
  <c r="J56" i="27"/>
  <c r="J58" i="27"/>
  <c r="I34" i="27"/>
  <c r="I35" i="27"/>
  <c r="G34" i="27"/>
  <c r="J34" i="27" s="1"/>
  <c r="G35" i="27"/>
  <c r="I33" i="27"/>
  <c r="G33" i="27"/>
  <c r="G25" i="27"/>
  <c r="I26" i="27"/>
  <c r="I27" i="27"/>
  <c r="I28" i="27"/>
  <c r="I29" i="27"/>
  <c r="I30" i="27"/>
  <c r="G26" i="27"/>
  <c r="G27" i="27"/>
  <c r="G28" i="27"/>
  <c r="G29" i="27"/>
  <c r="G30" i="27"/>
  <c r="I25" i="27"/>
  <c r="I14" i="27"/>
  <c r="I15" i="27"/>
  <c r="I16" i="27"/>
  <c r="I17" i="27"/>
  <c r="I18" i="27"/>
  <c r="I19" i="27"/>
  <c r="I20" i="27"/>
  <c r="I21" i="27"/>
  <c r="I22" i="27"/>
  <c r="G14" i="27"/>
  <c r="G15" i="27"/>
  <c r="G16" i="27"/>
  <c r="G17" i="27"/>
  <c r="G18" i="27"/>
  <c r="G19" i="27"/>
  <c r="G20" i="27"/>
  <c r="G21" i="27"/>
  <c r="G22" i="27"/>
  <c r="I13" i="27"/>
  <c r="G13" i="27"/>
  <c r="J122" i="27" l="1"/>
  <c r="J59" i="27"/>
  <c r="J13" i="27"/>
  <c r="J83" i="27"/>
  <c r="J102" i="27"/>
  <c r="J141" i="27"/>
  <c r="J49" i="27"/>
  <c r="J35" i="27"/>
  <c r="J33" i="27"/>
  <c r="J37" i="27" s="1"/>
  <c r="J30" i="27"/>
  <c r="J25" i="27"/>
  <c r="J22" i="27"/>
  <c r="J21" i="27"/>
  <c r="J19" i="27"/>
  <c r="J27" i="27"/>
  <c r="J20" i="27"/>
  <c r="J26" i="27"/>
  <c r="J29" i="27"/>
  <c r="J28" i="27"/>
  <c r="J17" i="27"/>
  <c r="J14" i="27"/>
  <c r="J18" i="27"/>
  <c r="J16" i="27"/>
  <c r="J15" i="27"/>
  <c r="J23" i="27" l="1"/>
  <c r="J31" i="27"/>
  <c r="I63" i="27"/>
  <c r="I64" i="27"/>
  <c r="I65" i="27"/>
  <c r="I66" i="27"/>
  <c r="I67" i="27"/>
  <c r="G63" i="27"/>
  <c r="G64" i="27"/>
  <c r="G65" i="27"/>
  <c r="G66" i="27"/>
  <c r="G67" i="27"/>
  <c r="J67" i="27" s="1"/>
  <c r="I62" i="27"/>
  <c r="G62" i="27"/>
  <c r="J62" i="27" s="1"/>
  <c r="I61" i="27"/>
  <c r="G61" i="27"/>
  <c r="I25" i="33"/>
  <c r="G25" i="33"/>
  <c r="J61" i="27" l="1"/>
  <c r="J66" i="27"/>
  <c r="J65" i="27"/>
  <c r="J64" i="27"/>
  <c r="J63" i="27"/>
  <c r="J25" i="33"/>
  <c r="I43" i="33"/>
  <c r="G43" i="33"/>
  <c r="I42" i="33"/>
  <c r="G42" i="33"/>
  <c r="I41" i="33"/>
  <c r="G41" i="33"/>
  <c r="I40" i="33"/>
  <c r="G40" i="33"/>
  <c r="I37" i="33"/>
  <c r="G37" i="33"/>
  <c r="I36" i="33"/>
  <c r="G36" i="33"/>
  <c r="I33" i="33"/>
  <c r="G33" i="33"/>
  <c r="I32" i="33"/>
  <c r="G32" i="33"/>
  <c r="I24" i="33"/>
  <c r="G24" i="33"/>
  <c r="I23" i="33"/>
  <c r="G23" i="33"/>
  <c r="I22" i="33"/>
  <c r="G22" i="33"/>
  <c r="I16" i="33"/>
  <c r="G16" i="33"/>
  <c r="J16" i="33" s="1"/>
  <c r="I15" i="33"/>
  <c r="G15" i="33"/>
  <c r="J15" i="33" s="1"/>
  <c r="I14" i="33"/>
  <c r="I17" i="33" s="1"/>
  <c r="G14" i="33"/>
  <c r="J69" i="27" l="1"/>
  <c r="J164" i="27" s="1"/>
  <c r="G17" i="33"/>
  <c r="J22" i="33"/>
  <c r="J42" i="33"/>
  <c r="J43" i="33"/>
  <c r="J37" i="33"/>
  <c r="J32" i="33"/>
  <c r="J33" i="33"/>
  <c r="J41" i="33"/>
  <c r="J24" i="33"/>
  <c r="I38" i="33"/>
  <c r="I44" i="33" s="1"/>
  <c r="J40" i="33"/>
  <c r="G38" i="33"/>
  <c r="G44" i="33" s="1"/>
  <c r="J36" i="33"/>
  <c r="J23" i="33"/>
  <c r="J14" i="33"/>
  <c r="J17" i="33" s="1"/>
  <c r="J44" i="33" l="1"/>
  <c r="J26" i="33"/>
  <c r="J38" i="33"/>
  <c r="J34" i="33"/>
  <c r="J45" i="33" s="1"/>
  <c r="E12" i="31" s="1"/>
  <c r="B49" i="28"/>
  <c r="I47" i="28"/>
  <c r="G47" i="28"/>
  <c r="I46" i="28"/>
  <c r="G46" i="28"/>
  <c r="I45" i="28"/>
  <c r="G45" i="28"/>
  <c r="I44" i="28"/>
  <c r="G44" i="28"/>
  <c r="I43" i="28"/>
  <c r="G43" i="28"/>
  <c r="I42" i="28"/>
  <c r="G42" i="28"/>
  <c r="I41" i="28"/>
  <c r="G41" i="28"/>
  <c r="I40" i="28"/>
  <c r="G40" i="28"/>
  <c r="I39" i="28"/>
  <c r="G39" i="28"/>
  <c r="I38" i="28"/>
  <c r="G38" i="28"/>
  <c r="I37" i="28"/>
  <c r="G37" i="28"/>
  <c r="I36" i="28"/>
  <c r="G36" i="28"/>
  <c r="B34" i="28"/>
  <c r="I33" i="28"/>
  <c r="G33" i="28"/>
  <c r="I32" i="28"/>
  <c r="G32" i="28"/>
  <c r="I31" i="28"/>
  <c r="G31" i="28"/>
  <c r="J31" i="28" s="1"/>
  <c r="I30" i="28"/>
  <c r="G30" i="28"/>
  <c r="I29" i="28"/>
  <c r="G29" i="28"/>
  <c r="I28" i="28"/>
  <c r="G28" i="28"/>
  <c r="B26" i="28"/>
  <c r="I25" i="28"/>
  <c r="G25" i="28"/>
  <c r="I24" i="28"/>
  <c r="G24" i="28"/>
  <c r="B22" i="28"/>
  <c r="D21" i="28"/>
  <c r="I21" i="28" s="1"/>
  <c r="I19" i="28"/>
  <c r="G19" i="28"/>
  <c r="J19" i="28" s="1"/>
  <c r="G18" i="28"/>
  <c r="J18" i="28" s="1"/>
  <c r="I17" i="28"/>
  <c r="G17" i="28"/>
  <c r="I16" i="28"/>
  <c r="G16" i="28"/>
  <c r="B14" i="28"/>
  <c r="D13" i="28"/>
  <c r="I13" i="28" s="1"/>
  <c r="D12" i="28"/>
  <c r="I12" i="28" s="1"/>
  <c r="I163" i="27"/>
  <c r="G163" i="27"/>
  <c r="I141" i="27"/>
  <c r="I122" i="27"/>
  <c r="G122" i="27"/>
  <c r="I105" i="27"/>
  <c r="G105" i="27"/>
  <c r="I102" i="27"/>
  <c r="G102" i="27"/>
  <c r="I83" i="27"/>
  <c r="I75" i="27"/>
  <c r="G75" i="27"/>
  <c r="I69" i="27"/>
  <c r="G69" i="27"/>
  <c r="I59" i="27"/>
  <c r="G59" i="27"/>
  <c r="I49" i="27"/>
  <c r="G49" i="27"/>
  <c r="I37" i="27"/>
  <c r="G37" i="27"/>
  <c r="I31" i="27"/>
  <c r="G31" i="27"/>
  <c r="I23" i="27"/>
  <c r="G23" i="27"/>
  <c r="J17" i="28" l="1"/>
  <c r="J30" i="28"/>
  <c r="J42" i="28"/>
  <c r="I26" i="28"/>
  <c r="J33" i="28"/>
  <c r="E14" i="31"/>
  <c r="E16" i="31" s="1"/>
  <c r="E25" i="31" s="1"/>
  <c r="E35" i="31" s="1"/>
  <c r="J38" i="28"/>
  <c r="J28" i="28"/>
  <c r="J29" i="28"/>
  <c r="J45" i="28"/>
  <c r="I49" i="28"/>
  <c r="J36" i="28"/>
  <c r="G49" i="28"/>
  <c r="J47" i="28"/>
  <c r="J40" i="28"/>
  <c r="J44" i="28"/>
  <c r="I34" i="28"/>
  <c r="J39" i="28"/>
  <c r="I14" i="28"/>
  <c r="J46" i="28"/>
  <c r="J37" i="28"/>
  <c r="I22" i="28"/>
  <c r="J41" i="28"/>
  <c r="G26" i="28"/>
  <c r="J43" i="28"/>
  <c r="G34" i="28"/>
  <c r="J24" i="28"/>
  <c r="J25" i="28"/>
  <c r="G21" i="28"/>
  <c r="J21" i="28" s="1"/>
  <c r="G13" i="28"/>
  <c r="J13" i="28" s="1"/>
  <c r="G12" i="28"/>
  <c r="J16" i="28"/>
  <c r="J32" i="28"/>
  <c r="G164" i="27"/>
  <c r="I164" i="27"/>
  <c r="G22" i="28" l="1"/>
  <c r="G14" i="28"/>
  <c r="J12" i="28"/>
  <c r="G50" i="28" l="1"/>
  <c r="E27" i="31"/>
  <c r="E39" i="31" l="1"/>
  <c r="E40" i="31" s="1"/>
  <c r="I32" i="32"/>
  <c r="G32" i="32"/>
  <c r="I33" i="32"/>
  <c r="G33" i="32"/>
  <c r="I30" i="32"/>
  <c r="G30" i="32"/>
  <c r="I28" i="32"/>
  <c r="G28" i="32"/>
  <c r="I27" i="32"/>
  <c r="G27" i="32"/>
  <c r="I23" i="32"/>
  <c r="G23" i="32"/>
  <c r="I25" i="32"/>
  <c r="G25" i="32"/>
  <c r="I24" i="32"/>
  <c r="G24" i="32"/>
  <c r="I22" i="32"/>
  <c r="G22" i="32"/>
  <c r="J32" i="32" l="1"/>
  <c r="J33" i="32"/>
  <c r="J28" i="32"/>
  <c r="J27" i="32"/>
  <c r="J30" i="32"/>
  <c r="J22" i="32"/>
  <c r="J23" i="32"/>
  <c r="J24" i="32"/>
  <c r="J25" i="32"/>
  <c r="D13" i="11" l="1"/>
  <c r="R35" i="33" l="1"/>
  <c r="Q35" i="33"/>
  <c r="O35" i="33"/>
  <c r="M34" i="33"/>
  <c r="N34" i="33" s="1"/>
  <c r="O33" i="33"/>
  <c r="M32" i="33"/>
  <c r="O32" i="33" s="1"/>
  <c r="M30" i="33"/>
  <c r="N30" i="33" s="1"/>
  <c r="M29" i="33"/>
  <c r="N29" i="33" s="1"/>
  <c r="M28" i="33"/>
  <c r="O28" i="33" s="1"/>
  <c r="O27" i="33"/>
  <c r="O26" i="33"/>
  <c r="N23" i="33"/>
  <c r="M23" i="33"/>
  <c r="O22" i="33"/>
  <c r="O21" i="33"/>
  <c r="M20" i="33"/>
  <c r="P19" i="33"/>
  <c r="O19" i="33"/>
  <c r="N19" i="33"/>
  <c r="M19" i="33"/>
  <c r="S18" i="33"/>
  <c r="M18" i="33"/>
  <c r="M17" i="33"/>
  <c r="N16" i="33"/>
  <c r="Q15" i="33"/>
  <c r="N15" i="33"/>
  <c r="M15" i="33"/>
  <c r="Q14" i="33"/>
  <c r="N14" i="33"/>
  <c r="M14" i="33"/>
  <c r="N13" i="33"/>
  <c r="O23" i="33" l="1"/>
  <c r="O34" i="33"/>
  <c r="I20" i="32" l="1"/>
  <c r="G20" i="32"/>
  <c r="I18" i="32"/>
  <c r="G18" i="32"/>
  <c r="I17" i="32"/>
  <c r="G17" i="32"/>
  <c r="I16" i="32"/>
  <c r="G16" i="32"/>
  <c r="A2" i="31"/>
  <c r="E42" i="31"/>
  <c r="E33" i="31"/>
  <c r="E19" i="31"/>
  <c r="A4" i="11"/>
  <c r="C48" i="11" l="1"/>
  <c r="J20" i="32"/>
  <c r="J17" i="32"/>
  <c r="J18" i="32"/>
  <c r="J16" i="32"/>
  <c r="E15" i="31" l="1"/>
  <c r="E48" i="11"/>
  <c r="E58" i="11" l="1"/>
  <c r="C14" i="20" s="1"/>
  <c r="E38" i="31" l="1"/>
  <c r="E43" i="31" s="1"/>
  <c r="A44" i="11"/>
  <c r="A39" i="11"/>
  <c r="J43" i="31" l="1"/>
  <c r="E46" i="31"/>
  <c r="E47" i="31" s="1"/>
  <c r="C13" i="11"/>
  <c r="C59" i="11"/>
  <c r="E13" i="11" l="1"/>
  <c r="E23" i="11" l="1"/>
  <c r="H23" i="11" l="1"/>
  <c r="J23" i="11" s="1"/>
  <c r="C24" i="11"/>
  <c r="C13" i="20"/>
  <c r="C23" i="20" s="1"/>
  <c r="C24" i="20" s="1"/>
  <c r="C25" i="20" s="1"/>
  <c r="C4" i="32"/>
  <c r="C4" i="36"/>
  <c r="C4" i="28"/>
  <c r="C4" i="27"/>
  <c r="C4" i="37"/>
  <c r="C4" i="33"/>
  <c r="C4" i="35"/>
  <c r="C1" i="35"/>
  <c r="C1" i="36"/>
  <c r="C1" i="28"/>
  <c r="C1" i="32"/>
  <c r="C1" i="37"/>
  <c r="C1" i="33"/>
  <c r="C1" i="27"/>
</calcChain>
</file>

<file path=xl/sharedStrings.xml><?xml version="1.0" encoding="utf-8"?>
<sst xmlns="http://schemas.openxmlformats.org/spreadsheetml/2006/main" count="1598" uniqueCount="560">
  <si>
    <t>ลำดับที่</t>
  </si>
  <si>
    <t>รายการ</t>
  </si>
  <si>
    <t>จำนวน</t>
  </si>
  <si>
    <t>หน่วย</t>
  </si>
  <si>
    <t>ค่าแรงงาน</t>
  </si>
  <si>
    <t>หมายเหตุ</t>
  </si>
  <si>
    <t>แบบเลขที่</t>
  </si>
  <si>
    <t>Factor F</t>
  </si>
  <si>
    <t>เงื่อนไข</t>
  </si>
  <si>
    <t>สรุป</t>
  </si>
  <si>
    <t>ประเภทงานอาคาร</t>
  </si>
  <si>
    <t>ตัวอักษร</t>
  </si>
  <si>
    <t>ค่างานต้นทุน</t>
  </si>
  <si>
    <t>รวม</t>
  </si>
  <si>
    <t xml:space="preserve">ตร.ม. </t>
  </si>
  <si>
    <t>ค่าก่อสร้าง</t>
  </si>
  <si>
    <t>ประธานกรรมการ</t>
  </si>
  <si>
    <t>กรรมการ</t>
  </si>
  <si>
    <t>กรรมการกำหนดราคากลาง</t>
  </si>
  <si>
    <t>ขนาดหรือเนื้อที่อาคาร</t>
  </si>
  <si>
    <t xml:space="preserve">บาท / ตร.ม.                                 </t>
  </si>
  <si>
    <t xml:space="preserve">เฉลี่ยราคาประมาณ </t>
  </si>
  <si>
    <t>หน่วย : บาท</t>
  </si>
  <si>
    <t>ค่าวัสดุ</t>
  </si>
  <si>
    <t>มีจำนวน</t>
  </si>
  <si>
    <t>หน้า</t>
  </si>
  <si>
    <t xml:space="preserve">แบบ ปร. 4 ที่แนบ   </t>
  </si>
  <si>
    <t>แบบ ปร.5 (ก)</t>
  </si>
  <si>
    <t>รวมค่าก่อสร้าง</t>
  </si>
  <si>
    <t>แบบ ปร.5 (ข)</t>
  </si>
  <si>
    <t>แบบสรุปค่าครุภัณฑ์จัดซื้อ</t>
  </si>
  <si>
    <t>ค่างาน</t>
  </si>
  <si>
    <t>มูลค่าเพิ่ม</t>
  </si>
  <si>
    <t>แบบ ปร.6</t>
  </si>
  <si>
    <t>แบบสรุปราคากลางงานก่อสร้างอาคาร</t>
  </si>
  <si>
    <t xml:space="preserve">แบบ ปร. 4 และ ปร. 5 ที่แนบ  มีจำนวน  </t>
  </si>
  <si>
    <t>ราคากลาง</t>
  </si>
  <si>
    <t>งานครุภัณฑ์</t>
  </si>
  <si>
    <t>สถานที่ก่อสร้าง มหาวิทยาลัยขอนแก่น</t>
  </si>
  <si>
    <t>รวมค่าก่อสร้างทั้งโครงการ/งานก่อสร้าง</t>
  </si>
  <si>
    <t>งานก่อสร้างอาคาร</t>
  </si>
  <si>
    <t>ภาษี</t>
  </si>
  <si>
    <t>คำนวณราคากลางเมื่อวันที่</t>
  </si>
  <si>
    <t xml:space="preserve">แบบ   ปร.4          </t>
  </si>
  <si>
    <t>หน้าที่.............จาก.............หน้า</t>
  </si>
  <si>
    <t>รายการเลขที่</t>
  </si>
  <si>
    <t xml:space="preserve">ฝ่าย / งาน                                                                                                                                        </t>
  </si>
  <si>
    <t>สำนัก / กอง</t>
  </si>
  <si>
    <t>กรม</t>
  </si>
  <si>
    <t>ลำดับ</t>
  </si>
  <si>
    <t>รวมเป็นเงิน</t>
  </si>
  <si>
    <t>ราคา/หน่วย</t>
  </si>
  <si>
    <t xml:space="preserve">เมื่อวันที่ </t>
  </si>
  <si>
    <t>แบบสรุปค่าก่อสร้าง</t>
  </si>
  <si>
    <t>มหาวิทยาลัยขอนแก่น</t>
  </si>
  <si>
    <t>สถานที่ก่อสร้าง   มหาวิทยาลัยขอนแก่น</t>
  </si>
  <si>
    <t>สถานที่ก่อสร้าง  มหาวิทยาลัยขอนแก่น</t>
  </si>
  <si>
    <t xml:space="preserve">  </t>
  </si>
  <si>
    <t>7%</t>
  </si>
  <si>
    <t>งานระบบประกอบอาคาร</t>
  </si>
  <si>
    <t>ชุด</t>
  </si>
  <si>
    <t>กองอาคารและสถานที่</t>
  </si>
  <si>
    <t>ตร.ม.</t>
  </si>
  <si>
    <t xml:space="preserve"> ( นายธนวัฒน์  บุตรสระเกษ)</t>
  </si>
  <si>
    <t>งานผนัง</t>
  </si>
  <si>
    <t>งานประตูหน้าต่าง</t>
  </si>
  <si>
    <t>LIGHTING SYSTEM</t>
  </si>
  <si>
    <t>CONDUIT</t>
  </si>
  <si>
    <t>CABLE</t>
  </si>
  <si>
    <t>ACCESSORIES</t>
  </si>
  <si>
    <t>LOT</t>
  </si>
  <si>
    <t>รวมงานผนัง</t>
  </si>
  <si>
    <t>รวมงานประตูหน้าต่าง</t>
  </si>
  <si>
    <t>งานฝ้าเพดาน</t>
  </si>
  <si>
    <t>ตรม.</t>
  </si>
  <si>
    <t>งาน</t>
  </si>
  <si>
    <t>เมื่อวันที่</t>
  </si>
  <si>
    <t>ส่วนที่ 1 ค่าวัสดุและแรงงานหมวดงานก่อสร้าง</t>
  </si>
  <si>
    <t>กลุ่มงานที่ 1</t>
  </si>
  <si>
    <t>งานระบบไฟฟ้าและสื่อสาร</t>
  </si>
  <si>
    <t>-</t>
  </si>
  <si>
    <t>SET</t>
  </si>
  <si>
    <t>M</t>
  </si>
  <si>
    <t>60227 IEC01 - .    4 sq.mm.</t>
  </si>
  <si>
    <t>60227 IEC01 - .    2.5 sq.mm.</t>
  </si>
  <si>
    <t xml:space="preserve"> - </t>
  </si>
  <si>
    <r>
      <rPr>
        <b/>
        <sz val="16"/>
        <color indexed="8"/>
        <rFont val="TH Sarabun New"/>
        <family val="2"/>
      </rPr>
      <t xml:space="preserve">แบบเลขที่ </t>
    </r>
    <r>
      <rPr>
        <sz val="16"/>
        <color indexed="8"/>
        <rFont val="TH Sarabun New"/>
        <family val="2"/>
      </rPr>
      <t xml:space="preserve">                                                                                                                                                            </t>
    </r>
  </si>
  <si>
    <r>
      <rPr>
        <b/>
        <sz val="16"/>
        <color indexed="8"/>
        <rFont val="TH Sarabun New"/>
        <family val="2"/>
      </rPr>
      <t>หน่วยงานเจ้าของโครงการ/งานก่อสร้าง</t>
    </r>
    <r>
      <rPr>
        <sz val="16"/>
        <color indexed="8"/>
        <rFont val="TH Sarabun New"/>
        <family val="2"/>
      </rPr>
      <t xml:space="preserve"> มหาวิทยาลัยขอนแก่น</t>
    </r>
  </si>
  <si>
    <r>
      <t xml:space="preserve">สถานที่ก่อสร้าง   </t>
    </r>
    <r>
      <rPr>
        <b/>
        <sz val="14"/>
        <rFont val="TH Sarabun New"/>
        <family val="2"/>
      </rPr>
      <t xml:space="preserve"> มหาวิทยาลัยขอนแก่น  </t>
    </r>
    <r>
      <rPr>
        <sz val="14"/>
        <rFont val="TH Sarabun New"/>
        <family val="2"/>
      </rPr>
      <t xml:space="preserve">                                                                                                                                                            </t>
    </r>
  </si>
  <si>
    <t>รวมค่าติดตั้ง</t>
  </si>
  <si>
    <t>งานรื้อถอน</t>
  </si>
  <si>
    <t>งานสี</t>
  </si>
  <si>
    <t>งานทาสีกันสนิม</t>
  </si>
  <si>
    <t>รวมค่าแรง</t>
  </si>
  <si>
    <t>งานพื้น</t>
  </si>
  <si>
    <t>ม.</t>
  </si>
  <si>
    <t>1.3.1</t>
  </si>
  <si>
    <t>Load Center &amp; Consumer Unit</t>
  </si>
  <si>
    <t>1.3.2</t>
  </si>
  <si>
    <t>1.3.3</t>
  </si>
  <si>
    <t>1.3.4</t>
  </si>
  <si>
    <t>1.3.5</t>
  </si>
  <si>
    <t>SWITCH BOX</t>
  </si>
  <si>
    <t xml:space="preserve">SWITCH 1 WAY  16 A  </t>
  </si>
  <si>
    <t>1.3.6</t>
  </si>
  <si>
    <t>RECEPTACLE BOX</t>
  </si>
  <si>
    <t>1.3.7</t>
  </si>
  <si>
    <t>AIR CONDITIONER SYSTEM</t>
  </si>
  <si>
    <t>1.3.8</t>
  </si>
  <si>
    <t>ระบบโสตทัศนูปกรณ์</t>
  </si>
  <si>
    <t xml:space="preserve">  EQUIPMENT</t>
  </si>
  <si>
    <t>LCD PROJECTOR 5,000 ANSI LUMEN</t>
  </si>
  <si>
    <t xml:space="preserve">จอรับภาพระบบไฟฟ้า 150 นิ้ว </t>
  </si>
  <si>
    <t>AUDIO POWER MIXER</t>
  </si>
  <si>
    <t>เครื่องสลับสัญญาณภาพ (HDMI Switcher)</t>
  </si>
  <si>
    <t>เครื่องขยายสัญญาณ (HDMI Extender)</t>
  </si>
  <si>
    <t>VOCAL Microphone</t>
  </si>
  <si>
    <t>ลำโพงชนิดสองทาง (Bass-Reflex Type)</t>
  </si>
  <si>
    <t xml:space="preserve">ชุดอุปกรณ์ OUTLET BOX พร้อมกล่อง POP-UP </t>
  </si>
  <si>
    <t xml:space="preserve">  CABLE &amp; CONDUIT</t>
  </si>
  <si>
    <t>สายสัญญาณ + ท่อร้อยสาย</t>
  </si>
  <si>
    <t xml:space="preserve">ACCESSORIES+อุปกรณ์จับยึด +อื่นๆ  </t>
  </si>
  <si>
    <t>1.3.9</t>
  </si>
  <si>
    <t>อื่น ๆ</t>
  </si>
  <si>
    <t>รวมงานระบบไฟฟ้า</t>
  </si>
  <si>
    <t>2.1.1</t>
  </si>
  <si>
    <t>ส่วนที่ 2 หมวดอุปกรณ์ประกอบอาคารสั่งซื้อหรือจัดซื้อ</t>
  </si>
  <si>
    <t>ราคารวมงานอุปกรณ์ประกอบอาคารงานไฟฟ้า</t>
  </si>
  <si>
    <t>รวมงานสี</t>
  </si>
  <si>
    <t>รวมงานฝ้าเพดาน</t>
  </si>
  <si>
    <t>รวมงานพื้น</t>
  </si>
  <si>
    <t>รวมงานรื้อถอน</t>
  </si>
  <si>
    <t xml:space="preserve"> ( นายเขมโชต ภู่ประเสริฐ)</t>
  </si>
  <si>
    <t xml:space="preserve">แบบ   ปร.4              </t>
  </si>
  <si>
    <t>หน้าที่..........จาก..........หน้า</t>
  </si>
  <si>
    <t xml:space="preserve">สถานที่ก่อสร้าง  มหาวิทยาลัยขอนแก่น                                                       </t>
  </si>
  <si>
    <t xml:space="preserve">สำนัก / กอง </t>
  </si>
  <si>
    <t xml:space="preserve">กรม </t>
  </si>
  <si>
    <t>ประมาณการโดย  กรรมการกำหนดราคากลาง</t>
  </si>
  <si>
    <t>สรุปบัญชีแสดงปริมาณงานและราคากลางค่าก่อสร้าง</t>
  </si>
  <si>
    <t>จาก BOQ แผ่นที่</t>
  </si>
  <si>
    <t>จำนวนเงินรวม</t>
  </si>
  <si>
    <t>1.1 งานโครงสร้าง</t>
  </si>
  <si>
    <t>1.2 งานสถาปัตยกรรม</t>
  </si>
  <si>
    <t>1.3 งานระบบไฟฟ้า</t>
  </si>
  <si>
    <t>1.4 งานระบบสุขาภิบาล</t>
  </si>
  <si>
    <t>รวมค่างานกลุ่มงานที่ 1</t>
  </si>
  <si>
    <t>กลุ่มงานที่ 2</t>
  </si>
  <si>
    <t>2.1 งานระบบลิฟต์โดยสาร</t>
  </si>
  <si>
    <t>รวมค่างานกลุ่มงานที่ 2</t>
  </si>
  <si>
    <t>กลุ่มงานที่ 3</t>
  </si>
  <si>
    <t>3.1 งานป้ายสัญลักษณ์</t>
  </si>
  <si>
    <t>รวมค่างานกลุ่มงานที่ 3</t>
  </si>
  <si>
    <t>รวมค่างานส่วนที่ 1</t>
  </si>
  <si>
    <t>1 งานอุปกรณ์ประกอบระบบไฟฟ้าและสื่อสาร</t>
  </si>
  <si>
    <t>รวมค่างานส่วนที่ 2</t>
  </si>
  <si>
    <t>ส่วนที่ 3 ค่าใช้จ่ายพิเศษตามข้อกำหนด</t>
  </si>
  <si>
    <t>ค่าใช้จ่ายพิเศษตามข้อกำหนดและเงื่อนไข</t>
  </si>
  <si>
    <t>รวมค่างานส่วนที่ 3</t>
  </si>
  <si>
    <t>ส่วนที่ 4 สรุปค่าก่อสร้างทั้งหมด</t>
  </si>
  <si>
    <t>ก.</t>
  </si>
  <si>
    <t>ค่างานส่วนที่ 1 คูณกับค่าใช้จ่ายทั้งหมดในรูปของ FACTOR F จากตาราง FACTOR F</t>
  </si>
  <si>
    <t>รวมเป็นค่าก่อสร้าง ข้อ ก</t>
  </si>
  <si>
    <t>ข.</t>
  </si>
  <si>
    <t>ค่างานส่วนที่ 2 บวกกับภาษีมูลค่าเพิ่ม = 7%</t>
  </si>
  <si>
    <t>รวมเป็นค่าก่อสร้าง ข้อ ข</t>
  </si>
  <si>
    <t>ค.</t>
  </si>
  <si>
    <t>ค่างานสุทธิของค่างานส่วนที่ 3 ค่าใช้จ่ายพิเศษตามข้อกำหนด</t>
  </si>
  <si>
    <t>รวมเป็นค่าก่อสร้าง ข้อ ค</t>
  </si>
  <si>
    <t>รวมเป็นค่างานก่อสร้างทั้งหมด = ข้อ ก.+ข้อ ข. + ข้อ ค.</t>
  </si>
  <si>
    <t xml:space="preserve">ส่วนที่ 1 ค่าวัสดุและแรงงานหมวดงานก่อสร้าง </t>
  </si>
  <si>
    <t>งานระบบสุขาภิบาล</t>
  </si>
  <si>
    <t>COLD WATER SYSTEM</t>
  </si>
  <si>
    <t>Fitting&amp;ACC&amp;Support</t>
  </si>
  <si>
    <t>เหมา</t>
  </si>
  <si>
    <t>dia. 4"</t>
  </si>
  <si>
    <t>Fitting&amp;Support&amp;ACC</t>
  </si>
  <si>
    <t>รวมราคางานระบบสุขาภิบาล</t>
  </si>
  <si>
    <t xml:space="preserve">งานวิศวกรรมโครงสร้าง </t>
  </si>
  <si>
    <t>1.3.10</t>
  </si>
  <si>
    <t>1.3.11</t>
  </si>
  <si>
    <t>1.3.12</t>
  </si>
  <si>
    <t>ประมาณการโดย  คณะกรรมการกำหนดราคากลาง</t>
  </si>
  <si>
    <t>งานหลังคา</t>
  </si>
  <si>
    <t xml:space="preserve">งานระบบไฟฟ้าและสื่อสาร </t>
  </si>
  <si>
    <t>งานรื้อถอนผนัง</t>
  </si>
  <si>
    <t>พร้อมขนเก็บ/ขนทิ้ง</t>
  </si>
  <si>
    <t xml:space="preserve">ทาสีน้ำมัน สีเคลือบทับหน้าและรองพื้นกันสนิม ชนิดกึ่งเงา ระบุสีภายหลัง
ผลิตภัณฑ์ของ TOA, Nippon Paint,Delta หรือ Beger </t>
  </si>
  <si>
    <t>งานรื้อถอนประตู-หน้าต่าง</t>
  </si>
  <si>
    <t>งานรื้อถอนหน้าต่างลวดตาข่ายวงกบเหล็ก</t>
  </si>
  <si>
    <t>งานรื้อถอน SH/Emergency Shower</t>
  </si>
  <si>
    <t>งานรื้อถอนเคาน์เตอร์ ค.ส.ล.</t>
  </si>
  <si>
    <t>A</t>
  </si>
  <si>
    <t>งานประตู 1 (รายละเอียดตามแบบขยาย)</t>
  </si>
  <si>
    <t>งานประตู 2 (รายละเอียดตามแบบขยาย)</t>
  </si>
  <si>
    <t>งานประตู 1A (รายละเอียดตามแบบขยาย)</t>
  </si>
  <si>
    <t>งานประตู 1B (รายละเอียดตามแบบขยาย)</t>
  </si>
  <si>
    <t>งานประตู 1C (รายละเอียดตามแบบขยาย)</t>
  </si>
  <si>
    <t>งานประตู 1D (รายละเอียดตามแบบขยาย)</t>
  </si>
  <si>
    <t>งานประตู A1 (รายละเอียดตามแบบขยาย)</t>
  </si>
  <si>
    <t>งานประตู A2 (รายละเอียดตามแบบขยาย)</t>
  </si>
  <si>
    <t>งานประตู A3 (รายละเอียดตามแบบขยาย)</t>
  </si>
  <si>
    <t>งานประตู 3 (รายละเอียดตามแบบขยาย)</t>
  </si>
  <si>
    <t>งานประตู 4.1 (รายละเอียดตามแบบขยาย)</t>
  </si>
  <si>
    <t>งานประตู 4.2 (รายละเอียดตามแบบขยาย)</t>
  </si>
  <si>
    <t>งานหน้าต่าง 1 (รายละเอียดตามแบบขยาย)</t>
  </si>
  <si>
    <t>งานหน้าต่าง 2 (รายละเอียดตามแบบขยาย)</t>
  </si>
  <si>
    <t>งานหน้าต่าง 3.1 (รายละเอียดตามแบบขยาย)</t>
  </si>
  <si>
    <t>งานหน้าต่าง 3.2 (รายละเอียดตามแบบขยาย)</t>
  </si>
  <si>
    <t>งานหน้าต่าง 4 (รายละเอียดตามแบบขยาย)</t>
  </si>
  <si>
    <t>งานหน้าต่าง 5 (รายละเอียดตามแบบขยาย)</t>
  </si>
  <si>
    <t>งานหน้าต่าง 6 (รายละเอียดตามแบบขยาย)</t>
  </si>
  <si>
    <t>พื้นกระเบื้องยาง ลายไม้ ชนิดผิวด้าน สีโอ๊คดำ</t>
  </si>
  <si>
    <t>3A</t>
  </si>
  <si>
    <t>3B</t>
  </si>
  <si>
    <t>3C</t>
  </si>
  <si>
    <t>3D</t>
  </si>
  <si>
    <t>3E</t>
  </si>
  <si>
    <t>3F</t>
  </si>
  <si>
    <t>7A</t>
  </si>
  <si>
    <t>7B</t>
  </si>
  <si>
    <t>7C</t>
  </si>
  <si>
    <t>7D</t>
  </si>
  <si>
    <t>งานติดตั้งบัวอลูมิเนียม สีซิงค์ 4นิ้ว รอบห้อง (ยกเว้น Gridline b ใต้เคาน์เตอร์)</t>
  </si>
  <si>
    <t>งานรื้อถอนตู้ปลอดเชื้อ/อุปกรณ์ไฟฟ้า</t>
  </si>
  <si>
    <t xml:space="preserve">งานสถาปัตยกรรม </t>
  </si>
  <si>
    <t>งานเบ็ดเตล็ด</t>
  </si>
  <si>
    <t>ชั้น 2-5</t>
  </si>
  <si>
    <t>ชั้น 2</t>
  </si>
  <si>
    <t>ชั้น 3</t>
  </si>
  <si>
    <t>ชั้น 4</t>
  </si>
  <si>
    <t>ชั้น 5</t>
  </si>
  <si>
    <t>F1</t>
  </si>
  <si>
    <t>เก้าอี้-พนักพิงกลาง-สำหรับห้องประชุม</t>
  </si>
  <si>
    <t>F2</t>
  </si>
  <si>
    <t>F3</t>
  </si>
  <si>
    <t>โต๊ะกลาง 0.80x1.20m.</t>
  </si>
  <si>
    <t>เก้าอี้-พนักพิงกลาง-สำหรับห้องทั่วไป</t>
  </si>
  <si>
    <t>F4</t>
  </si>
  <si>
    <t>ห้องประชุมเล็ก ชั้น 2</t>
  </si>
  <si>
    <t>ห้องพักนักศึกษา ชั้น 3</t>
  </si>
  <si>
    <t>ห้องพักนักศึกษา ชั้น 4</t>
  </si>
  <si>
    <t>งานอุปกรณ์ประกอบอาคารสั่งซื้อหรือจัดซื้อ</t>
  </si>
  <si>
    <t>3.2 งานอุปกรณ์ประกอบอาคารสั่งซื้อหรือจัดซื้อ</t>
  </si>
  <si>
    <t>งานป้ายสัญลักษณ์</t>
  </si>
  <si>
    <t xml:space="preserve">งานรื้อถอนฝ้าเพดาน </t>
  </si>
  <si>
    <t xml:space="preserve">ผนังอิญมวลเบาหนา 7.5 ซม. ฉาบเรียบ  </t>
  </si>
  <si>
    <t>3G</t>
  </si>
  <si>
    <t xml:space="preserve">ไม้เทียมตกแต่ง Wall Board Pattern Wood ขนาด 12x122mm. ยาว 2.90m. (3เส้น/ตร.ม.) ลายไม้ สีระบุภายหลัง  </t>
  </si>
  <si>
    <t>6A</t>
  </si>
  <si>
    <t>6B</t>
  </si>
  <si>
    <t>6C</t>
  </si>
  <si>
    <t>6D</t>
  </si>
  <si>
    <t>ตกแต่งผนังอลูมิเนียมคอมโพสิต (Aluminium Compsite) ชั้น 2 สีส้ม</t>
  </si>
  <si>
    <t>ตกแต่งผนังอลูมิเนียมคอมโพสิต (Aluminium Compsite) ชั้น 3 สีเขียว</t>
  </si>
  <si>
    <t>ตกแต่งผนังอลูมิเนียมคอมโพสิต (Aluminium Compsite) ชั้น 4 สีเหลือง</t>
  </si>
  <si>
    <t>ตกแต่งผนังอลูมิเนียมคอมโพสิต (Aluminium Compsite) ชั้น 5 สีฟ้า</t>
  </si>
  <si>
    <t xml:space="preserve">ฝ้ายิบซั่มบอร์ด ชนิดทนความชื้น หนา 9 มม. ได้รับมาตรฐานการผลิต ASTM C1396, มอก. 219-2552 และ BSEN520:2004+A1:2009 (หรือเทียบเท่า) 
ฉาบรอยต่อเรียบทาสี สีน้ำพลาสติกภายใน กึ่งเงา Grade Clean Room สี FreshiClean 4723 
โครงเคร่าเหล็กชุบสังกะสีสามารถรับน้ำหนักได้ไม่น้อยกว่า 240 นิวตัน/เมตร ได้รับการรับรองมาตรฐาน มอก.863-2532 
ชั้นคุณภาพที่ 1 หรือเทียบเท่า ผ่านกรรมวิธีจุ่มร้อน โดยมีมวลของสังกะสีชุบ 
หนา 220 กรัม / ตร.ม. ป้องกันสนิมได้ดี ตาม มอก.863-2532 </t>
  </si>
  <si>
    <t xml:space="preserve">งานประตู 1Aa (รายละเอียดตามแบบขยาย) </t>
  </si>
  <si>
    <t>F7</t>
  </si>
  <si>
    <t>ห้องประชุมใหญ่ ชั้น 2</t>
  </si>
  <si>
    <t>ผนังอะคูสติก ซับเสียง ความหนา 25 มม.  เนื้อฉนวนใยแก้วสีน้ำตาลแบบแผ่น ปิดผิวหน้าและด้านหลังด้วยแผ่นกลาสทิชชู 
เคลือบขอบรอบด้านด้วยสารโพลีเมอร์ชนิดพิเศษ หุ้มทับด้วยผ้าPasayaเป็นผ้าชนิดพิเศษ มีการเคลือบสารกันน้ำ เช็คคราบเปื้อนออกได้ สีระบุภายหลัง</t>
  </si>
  <si>
    <t>ห้องพักนักศึกษา ชั้น 5</t>
  </si>
  <si>
    <t>1A</t>
  </si>
  <si>
    <t>ชั้น 2 พื้นหินขัดเดิม ทำการขัดผิว ทาสีส้ม ลงน้ำยาเคลือบเกรดเอ</t>
  </si>
  <si>
    <t>1B</t>
  </si>
  <si>
    <t>1C</t>
  </si>
  <si>
    <t>1D</t>
  </si>
  <si>
    <t>รวมอุปกรณ์ติดตั้ง</t>
  </si>
  <si>
    <t>บานเลื่อน/โครงเคร่าไม้เนื้อแข็ง/ไม้อัดหนา 6 มม./กรุลามิเนต /พร้อมอุปกรณ์ครบชุด/ภายในจัดเก็บผนังกั้นห้องประชุม รายละเอียดตามแบบ</t>
  </si>
  <si>
    <t>A1a</t>
  </si>
  <si>
    <t>(รายละเอียดตามแบบขยาย)</t>
  </si>
  <si>
    <t>A4</t>
  </si>
  <si>
    <t>A6</t>
  </si>
  <si>
    <t xml:space="preserve">4207 ห้องปฎิบัติการ </t>
  </si>
  <si>
    <t>ห้องพักนักศึกษา ชั้น 2</t>
  </si>
  <si>
    <t>B1c</t>
  </si>
  <si>
    <t>C1d</t>
  </si>
  <si>
    <t>D1a</t>
  </si>
  <si>
    <t xml:space="preserve">4307 ห้องปฎิบัติการ </t>
  </si>
  <si>
    <t>A5</t>
  </si>
  <si>
    <t>B1b</t>
  </si>
  <si>
    <t>C1c</t>
  </si>
  <si>
    <t>D1b</t>
  </si>
  <si>
    <t xml:space="preserve">4305 4304 ห้องปฎิบัติการ </t>
  </si>
  <si>
    <t>A3b</t>
  </si>
  <si>
    <t>A1b</t>
  </si>
  <si>
    <t xml:space="preserve">4407 ห้องปฎิบัติการ </t>
  </si>
  <si>
    <t xml:space="preserve">4405  ห้องปฎิบัติการ </t>
  </si>
  <si>
    <t xml:space="preserve">4507 ห้องปฎิบัติการ </t>
  </si>
  <si>
    <t>A2a</t>
  </si>
  <si>
    <t>ห้องพักนักศึกษา ชั้น 5 Grid Line G-H</t>
  </si>
  <si>
    <t>B1a</t>
  </si>
  <si>
    <t>C1a</t>
  </si>
  <si>
    <t xml:space="preserve">4506  ห้องปฎิบัติการ </t>
  </si>
  <si>
    <t>A2b</t>
  </si>
  <si>
    <t>A3a</t>
  </si>
  <si>
    <t>ห้องพักนักศึกษา ชั้น 5 Grid Line L-M</t>
  </si>
  <si>
    <t>C1b</t>
  </si>
  <si>
    <t xml:space="preserve">4505  ห้องปฎิบัติการ </t>
  </si>
  <si>
    <t>รวมติดตั้ง</t>
  </si>
  <si>
    <t>โลโก้พร้อมติดตั้ง (รายละเอียดตามแบบ) ห้องประชุมใหญ่</t>
  </si>
  <si>
    <t>ฝ้าเดิม คสล. ทำการขัดเตรียมทาสี</t>
  </si>
  <si>
    <t>รวมงานหลังคา</t>
  </si>
  <si>
    <t>รวมอุปกรณ์ติดตั้งครบชุด</t>
  </si>
  <si>
    <t>หน้าต่างเดิม บริเวณทางเดิน/ลวดตาข่าย/วงกบเหล็ก/ทำการ ขัด เตรียมทาสีขาว</t>
  </si>
  <si>
    <t>รวมราคา งานสถาปัตยกรรม</t>
  </si>
  <si>
    <t>รวมราคางานอื่นๆ</t>
  </si>
  <si>
    <t>รวมราคางานป้ายสัญลักษณ์</t>
  </si>
  <si>
    <t xml:space="preserve">DB 1  Form 2a :IP30:Bare copper busbar(IEC61439-2) </t>
  </si>
  <si>
    <t xml:space="preserve">MCCB 3P, 400AT / 400AF </t>
  </si>
  <si>
    <t>MCCB 3P, 200AT / 250AF</t>
  </si>
  <si>
    <t>MCCB 3P, 100AT / 100AF</t>
  </si>
  <si>
    <t>MCCB 3P, 50AT / 100AF</t>
  </si>
  <si>
    <t>POWER DIGITAL METER</t>
  </si>
  <si>
    <t>SPD 255V 50KA (10/350u)</t>
  </si>
  <si>
    <t>CUBICLE + BUSBAR</t>
  </si>
  <si>
    <t>งานติดตั้ง Function Auto Reclose</t>
  </si>
  <si>
    <t xml:space="preserve">งาน Ground SYSTEM ตู้ DB + แท่ง Ground Rod +อุปกรณ์ประกอบการติดตั้ง </t>
  </si>
  <si>
    <t>Measurement&amp;Metering ,(ชุดอุปกรณ์ประกอบ MCCB), ชุดอุปกรณ์ AMP METER ,VOLTE METER, ANALOG KWH Meter</t>
  </si>
  <si>
    <t xml:space="preserve">1.3.1 DB 1  Form 2a :IP30:Bare copper busbar(IEC61439-2) </t>
  </si>
  <si>
    <t xml:space="preserve">SDB201-SDB501  Form 1a :IP30:Bare copper busbar(IEC61439-2) </t>
  </si>
  <si>
    <t>MCCB 3P, 80AT / 100AF</t>
  </si>
  <si>
    <t xml:space="preserve">Measurement&amp;Metering ,(ชุดอุปกรณ์ประกอบ MCCB), ชุดอุปกรณ์ AMP METER ,VOLTE METER </t>
  </si>
  <si>
    <t xml:space="preserve">1.3.2 SDB201-SDB501  Form 1a :IP30:Bare copper busbar(IEC61439-2) </t>
  </si>
  <si>
    <t xml:space="preserve">ตู้ LP201 , LP202 , LP203 , LP301 , LP302, LP303 , LP401 , LP402 ,LP403 ,LP501 ,LP502 ,LP503, LP504 ขนาด 30 ช่อง (รวมตู้ ,เบรคเกอร์เมน,เบรคเกอร์ย่อย,และอุปกรณ์ประกอบการติดตั้งตามแบบ ตารางโหลด) </t>
  </si>
  <si>
    <t xml:space="preserve">ตู้ Consumer (CU201 , CU301 , CU401 , CU501 , CU502) ขนาด 6 ช่อง (รวมตู้ ,เบรคเกอร์เมน,เบรคเกอร์ย่อย,และอุปกรณ์ประกอบการติดตั้งตามแบบ ตารางโหลด) </t>
  </si>
  <si>
    <t>1.3.3 Load Center &amp; Consumer Unit</t>
  </si>
  <si>
    <t>60227 IEC01 - .    120  sq.mm.</t>
  </si>
  <si>
    <t>60227 IEC01 - .    50 sq.mm.</t>
  </si>
  <si>
    <t>60227 IEC01 - .    16 sq.mm.</t>
  </si>
  <si>
    <t>60227 IEC01 - .    10 sq.mm.</t>
  </si>
  <si>
    <t>60227 IEC01 - .    6 sq.mm.</t>
  </si>
  <si>
    <t>NYY - .    120  sq.mm.</t>
  </si>
  <si>
    <t xml:space="preserve"> 1.3.3 Load Center &amp; Consumer Unit</t>
  </si>
  <si>
    <t>IMC  3 1/2"</t>
  </si>
  <si>
    <t>IMC  2 1/2"</t>
  </si>
  <si>
    <t xml:space="preserve">EMT 2"  </t>
  </si>
  <si>
    <t xml:space="preserve">EMT 1"  </t>
  </si>
  <si>
    <t xml:space="preserve">EMT 3/4"  </t>
  </si>
  <si>
    <t xml:space="preserve">EMT 1/2"  </t>
  </si>
  <si>
    <t xml:space="preserve"> FLEXIBLE Metal 1/2"</t>
  </si>
  <si>
    <t xml:space="preserve"> SUPPORT AND HANGER AND ACCESSORIES</t>
  </si>
  <si>
    <t>1.3.5 CONDUIT</t>
  </si>
  <si>
    <t xml:space="preserve">(L1) โคมหน้าพลาสติก ผิวขาวขุ่น แบบติดลอยพร้อมขาแขวน 2x(20W-40W) LED , Day Light </t>
  </si>
  <si>
    <t xml:space="preserve">(L2) โคมซ่อนไฟ ชุดรางสำเร็จรูป T8 LED 9W 60cm. </t>
  </si>
  <si>
    <t>(L3) ชุดโคมไฟดาวน์ไลท์กลม ฝังฝ้าเพดาน E27 LED 15W(13000 lm) 4 นิ้ว</t>
  </si>
  <si>
    <t>(L4) ชุดโคมแขวน พร้อมขาแขวน LED, 20W-36W (2100Lm.) -8.9x124cm.</t>
  </si>
  <si>
    <t>(L5) ชุดโคมไฟดาวน์ไลท์หน้าเหลี่ยม 4 นิ้ว 2xE27 13W (2x1300Lm.)</t>
  </si>
  <si>
    <t xml:space="preserve">(L6) Seamless Light LED 40W 120x5x5cm. (4800 lm.) รุ่น ฝังผนัง </t>
  </si>
  <si>
    <t>1.3.4 LIGHTING SYSTEM</t>
  </si>
  <si>
    <t xml:space="preserve">SWITCH 2 WAY  16 A  </t>
  </si>
  <si>
    <t>1.3.5 SWITCH BOX</t>
  </si>
  <si>
    <t xml:space="preserve">เต้ารับชนิดคู่มีม่านนิรภัย / สายดิน 16A 250V  </t>
  </si>
  <si>
    <t xml:space="preserve">เต้ารับชนิดคู่มีม่านนิรภัย ติดตั้งผนังตกแต่ง  / สายดิน 16A 250V </t>
  </si>
  <si>
    <t xml:space="preserve">เต้ารับชนิดคู่มีม่านนิรภัย และ USB-C , USB-A , Floor Socket (แบบฝังพื้น)  / สายดิน 16A 250V </t>
  </si>
  <si>
    <t xml:space="preserve">ชุดโคมไฟ ป้ายทางออกฉุกเฉิน LED 9W  แบบ Slim line พร้อมเต้ารับเดี่ยว  </t>
  </si>
  <si>
    <t xml:space="preserve">โคมไฟฉุกเฉิน  EMERGENCY  LIGHT  2x6W.  LED พร้อมเต้ารับเดี่ยว  </t>
  </si>
  <si>
    <t>1.3.6 RECEPTACLE BOX</t>
  </si>
  <si>
    <t>เครื่องปรับอากาศ Wall Type แบบ Inverter ขนาด BTU ตามระบุในแบบ  (24,000 BTU)</t>
  </si>
  <si>
    <t>เครื่องปรับอากาศ Wall Type แบบ Inverter ขนาด BTU ตามระบุในแบบ  (18,000 BTU)</t>
  </si>
  <si>
    <t xml:space="preserve">พัดลมระบายอากาศ แบบติดฝ้า มีท่อเฟคต่อกริวติดผนัง </t>
  </si>
  <si>
    <t xml:space="preserve">พัดลมระบายอากาศ  </t>
  </si>
  <si>
    <t xml:space="preserve">Safety Switch / Isolator Switch </t>
  </si>
  <si>
    <t xml:space="preserve">FITTING &amp; SUPPORT &amp; HANGER  &amp; ACCESSORIES  </t>
  </si>
  <si>
    <t xml:space="preserve">  CABLE</t>
  </si>
  <si>
    <t xml:space="preserve">  CONDUIT</t>
  </si>
  <si>
    <t>1.3.7 AIR CONDITIONER SYSTEM</t>
  </si>
  <si>
    <t>COMPUTER SYSTEM&amp;TELEPHONE</t>
  </si>
  <si>
    <t>งานตรวจสอบ/แก้ไข /ซ่อมบำรุง ในส่วนของงานที่เกี่ยวข้อง ให้ใช้ระบบ INTERNET เดิมของตัวอาคาร</t>
  </si>
  <si>
    <t>1.3.8 COMPUTER SYSTEM&amp;TELEPHONE</t>
  </si>
  <si>
    <t>FIRE ALARM SYSTEM</t>
  </si>
  <si>
    <t>FCP</t>
  </si>
  <si>
    <t>ANN</t>
  </si>
  <si>
    <t>SMOKE DETECTOR</t>
  </si>
  <si>
    <t>HEAT DETECTOR</t>
  </si>
  <si>
    <t>MANUAL ALARM</t>
  </si>
  <si>
    <t>BELL</t>
  </si>
  <si>
    <t>60227 IEC01 - .   1.5 sq.mm.</t>
  </si>
  <si>
    <t>TWISTED PAIRS SHIELDED FIRE RESISTANCECABLE(FRC) 18 AWG</t>
  </si>
  <si>
    <t>1.3.9 FIRE ALARM SYSTEM</t>
  </si>
  <si>
    <t>ระบบประกาศเสียง</t>
  </si>
  <si>
    <t>TIMMER&amp;VOICE</t>
  </si>
  <si>
    <t>TUNER,DVD/CD</t>
  </si>
  <si>
    <t>PRE Amp.&amp; MIX</t>
  </si>
  <si>
    <t xml:space="preserve"> Power Amplifier. &gt;=1,200W </t>
  </si>
  <si>
    <t>Selector Switch 10 Zone</t>
  </si>
  <si>
    <t>2Set(Power Amplifier&amp;Speaker 20W)</t>
  </si>
  <si>
    <t>MICROPHONE สำหรับประกาศเสียง</t>
  </si>
  <si>
    <t>SOUND  RACK</t>
  </si>
  <si>
    <t>ลำโพงเสียงตามสาย 2way bass-reflex,speaker30w:100V:330 Ohm</t>
  </si>
  <si>
    <t>1.3.10 ระบบประกาศเสียง</t>
  </si>
  <si>
    <t>SMART TV 85 นิ้ว</t>
  </si>
  <si>
    <t>SMART TV 65 นิ้ว</t>
  </si>
  <si>
    <t>ไมค์ประชุมแบบมีสาย (ไมค์ประธาน)</t>
  </si>
  <si>
    <t>ไมค์ประชุมแบบมีสาย (ไมค์ผู้ร่วมประชุม)</t>
  </si>
  <si>
    <t xml:space="preserve">ชุดเครื่องควบคุมประชุม </t>
  </si>
  <si>
    <t>2.1.2</t>
  </si>
  <si>
    <t>2.1.3</t>
  </si>
  <si>
    <t>2.1.4</t>
  </si>
  <si>
    <t>2.1.5</t>
  </si>
  <si>
    <t xml:space="preserve">กลุ่มงาน/งาน </t>
  </si>
  <si>
    <t>งานโครงสร้าง</t>
  </si>
  <si>
    <t>รายการที่ 1</t>
  </si>
  <si>
    <t>งานขัดทำความสะอาด ปีกนก คสล.</t>
  </si>
  <si>
    <t>งานติดตาข่ายไฟเบอร์ และทาด้วยซีเมนต์กันซึม</t>
  </si>
  <si>
    <t>งานติดตั้งครอบข้างเมทัลชีท ความหนา 0.35 มม. รวมชั้นเคลือบ พร้อมซีลซิลิโคน</t>
  </si>
  <si>
    <t>รายการที่ 2</t>
  </si>
  <si>
    <t>ทำความสะอาด บริเวณรอยต่อของลูกหมุนระบายอากาศ พร้อมลอกซิลิโคนเดิม</t>
  </si>
  <si>
    <t>จุด</t>
  </si>
  <si>
    <t>ซีลซิลิโคน ชนิดโพลียูรีเทน</t>
  </si>
  <si>
    <t>รายการที่ 3</t>
  </si>
  <si>
    <t>ขัดแต่งพื้นบริเวณที่มีน้ำขัง และฉาบแต่งด้วยซีเมนต์ปรับระดับ</t>
  </si>
  <si>
    <t>ทำความสะอาด Roof Drain สกัด เจียแต่ง ให้น้ำไหลสะดวก</t>
  </si>
  <si>
    <t>งานทากันซึม ชนิดโพลียูรีเทน</t>
  </si>
  <si>
    <t>รายการที่ 4</t>
  </si>
  <si>
    <t>รื้อแผ่นหลังคา และครอบสันหลังคา พร้อมขนทิ้ง</t>
  </si>
  <si>
    <t>ติดตั้งแผ่นหลังคาเมทัลชีท แผ่นยาว</t>
  </si>
  <si>
    <t>ติดตั้งครอบสันหลังคา</t>
  </si>
  <si>
    <t>รายการที่ 5</t>
  </si>
  <si>
    <t>รื้อแผ่นหลังคา และครอบสันหลังคา</t>
  </si>
  <si>
    <t>แผ่น</t>
  </si>
  <si>
    <t>รายการที่ 6</t>
  </si>
  <si>
    <t>เชื่อมเหล็กกล่องกัลวาไนท์ 50x25x2.0 มม.</t>
  </si>
  <si>
    <t>ติดตั้งครอบข้างเมทัลชีท</t>
  </si>
  <si>
    <t xml:space="preserve">รวมราคา </t>
  </si>
  <si>
    <t>รวมราคางานโครงสร้าง</t>
  </si>
  <si>
    <t>งานอุปกรณ์ประกอบจัดซื้อ ชั้น 3</t>
  </si>
  <si>
    <t>งานอุปกรณ์ประกอบจัดซื้อ ชั้น 4</t>
  </si>
  <si>
    <t>งานอุปกรณ์ประกอบจัดซื้อ ชั้น 5</t>
  </si>
  <si>
    <t>งาน Built in และงานตกแต่ง ชั้น 2</t>
  </si>
  <si>
    <t>งาน Built in และงานตกแต่ง ชั้น 3</t>
  </si>
  <si>
    <t>งาน Built in และงานตกแต่ง ชั้น 4</t>
  </si>
  <si>
    <t>งาน Built in และงานตกแต่ง ชั้น 5</t>
  </si>
  <si>
    <t>เครื่องปรับอากาศ 4 way casset Type แบบ Inverter ขนาด BTU ตามระบุในแบบ  (30,000 BTU)</t>
  </si>
  <si>
    <t>โดยใช้ค่า FACTOR F ที่เงินจ่ายล่วงหน้า 0% ดอกเบี้ยเงินกู้ 7.00% ภาษีมูลค่าเพิ่ม 7.00%</t>
  </si>
  <si>
    <t xml:space="preserve"> -</t>
  </si>
  <si>
    <t xml:space="preserve">ทาสีฝ้าเพดาน สีอะคริลิคแท้ 100% ชนิดกึ่งเงา เกรดซุปเปอร์ชิลด์ ระบุสีภายหลัง
- สีรองพื้น ปูนเก่ากันด่าง 1 เที่ยว
- สีทับหน้า 2 เที่ยว
ผลิตภัณฑ์ของ TOA, Nippon Paint,Delta หรือ Beger </t>
  </si>
  <si>
    <t xml:space="preserve">ทาสีผนังฉาบปูนภายใน น้ำพลาสติกภายใน อะครีลิกเรซิ่น กึ่งเงา Grade Clean Room 15 ปี FreshiClean  มาตรฐานฉลากเขียว TGL-04-R4-14 และ มอก. 2321-2549 เช็ดทำความสะอาดได้ ระบุสีภายหลัง
- สีรองพื้น ปูนเก่ากันด่าง 1 เที่ยว
- สีทับหน้า 2 เที่ยว
ผลิตภัณฑ์ของ TOA, Nippon Paint,Delta หรือ Beger </t>
  </si>
  <si>
    <t>ชั้นเก็บอุปกรณ์มีล้อเลื่อน (เก็บใต้ Counter)</t>
  </si>
  <si>
    <t>บอร์ดกระจกกลาสโค้ท แม่เหล็ก 6 mm. สีระบุภายหลัง พร้อมหมุดลอยยึดกระจก 6 ตัว และถาดอลูมิเนียมตลอดแนวด้านล่าง รายละเอียดตามแบบ</t>
  </si>
  <si>
    <t>ติดตั้งตามแบบขยาย D1 รายละเอียดตามแบบ</t>
  </si>
  <si>
    <t>ติดตั้งตามแบบขยาย D2 รายละเอียดตามแบบ</t>
  </si>
  <si>
    <t>ติดตั้งในห้องประชุมเล็ก 4206-2 รายละเอียดตามแบบ</t>
  </si>
  <si>
    <t>ติดตั้งในห้องประชุมใหญ่ 4206-1 รายละเอียดตามแบบ</t>
  </si>
  <si>
    <t>ติดตั้งในห้องพักนักศึกษา แบบขยาย D1a รายละเอียดตามแบบ</t>
  </si>
  <si>
    <t>ติดตั้งบริเวณโถงทางเดิน ชั้น 2 รายละเอียดตามแบบ</t>
  </si>
  <si>
    <t>ติดตั้งบริเวณโถงทางเดิน ชั้น 3 รายละเอียดตามแบบ</t>
  </si>
  <si>
    <t>ติดตั้งตามแบบขยาย 4207  A1a รายละเอียดตามแบบ</t>
  </si>
  <si>
    <t>ติดตั้งตามแบบขยาย 4207  A4 รายละเอียดตามแบบ</t>
  </si>
  <si>
    <t>ติดตั้งตามแบบขยาย 4307 A1a รายละเอียดตามแบบ</t>
  </si>
  <si>
    <t>ติดตั้งในห้องพักนักศึกษา แบบขยาย D1b รายละเอียดตามแบบ</t>
  </si>
  <si>
    <t>ติดตั้งตามแบบขยาย 4304-4305 A1b รายละเอียดตามแบบ</t>
  </si>
  <si>
    <t>ติดตั้งตามแบบขยาย 4304-4305 A3b รายละเอียดตามแบบ</t>
  </si>
  <si>
    <t>ติดตั้งบริเวณโถงทางเดิน ชั้น 4 รายละเอียดตามแบบ</t>
  </si>
  <si>
    <t>ติดตั้งตามแบบขยาย 4407 A1a รายละเอียดตามแบบ</t>
  </si>
  <si>
    <t>ติดตั้งตามแบบขยาย 4404-4405 A1b รายละเอียดตามแบบ</t>
  </si>
  <si>
    <t>ติดตั้งตามแบบขยาย 4404-4405 A3b รายละเอียดตามแบบ</t>
  </si>
  <si>
    <t>ติดตั้งบริเวณโถงทางเดิน ชั้น 5 รายละเอียดตามแบบ</t>
  </si>
  <si>
    <t>ติดตั้งตามแบบขยาย 4505 A1b รายละเอียดตามแบบ</t>
  </si>
  <si>
    <t>ติดตั้งตามแบบขยาย 4505 A3b รายละเอียดตามแบบ</t>
  </si>
  <si>
    <t>ติดตั้งในห้องพักนักศึกษา แบบขยาย E1 รายละเอียดตามแบบ</t>
  </si>
  <si>
    <t>ติดตั้งตามแบบขยาย 4506 A3a รายละเอียดตามแบบ</t>
  </si>
  <si>
    <t>ติดตั้งตามแบบขยาย 4507 A1a รายละเอียดตามแบบ</t>
  </si>
  <si>
    <t>ชื่อโครง  โครงการปรับปรุงห้องปฏิบัติการเคมี อาคาร sc.04 คณะวิทยาศาสตร์</t>
  </si>
  <si>
    <t>งาน Protect อุปกรณ์ขนาดใหญ่และเคลื่อนย้ายอุปกรณ์ เฟอร์นิเจอร์ต่างๆ</t>
  </si>
  <si>
    <t>พื้นหินขัดเดิม ทำการปั่นขัดลอกผิว ลงน้ำยาเคลือบเกรดเอ</t>
  </si>
  <si>
    <t xml:space="preserve">   ***  หมายเหตุ งาน Protect อุปกรณ์ขนาดใหญ่และเคลื่อนย้ายอุปกรณ์ เฟอร์นิเจอร์ต่างๆ รวมถึงงานรื้อถอน ตู้ปลอดเชื้อ/อุปกรณ์ไฟฟ้า และเคลื่อนย้าย ให้ดำเนินการติดต่อเจ้าหน้าที่ ที่เกี่ยวข้องก่อนดำเนินการทุกครั้ง</t>
  </si>
  <si>
    <t>ทาสีพื้นด้วยสี PU ก่อนทำการเคลือบผิวทั้งหมด</t>
  </si>
  <si>
    <t>ชั้น 3 พื้นหินขัดเดิม ทำการขัดผิว ทาสีเขียว ลงน้ำยาเคลือบเกรดเอ</t>
  </si>
  <si>
    <t>ชั้น 4 พื้นหินขัดเดิม ทำการขัดผิว ทาสีเหลือง ลงน้ำยาเคลือบเกรดเอ</t>
  </si>
  <si>
    <t>ชั้น 5 พื้นหินขัดเดิม ทำการขัดผิว ทาสีฟ้า ลงน้ำยาเคลือบเกรดเอ</t>
  </si>
  <si>
    <t>เทปตีเส้นเรืองแสงสำหรับบอกแนวทางออกหนีไฟ สามารถเรืองแสงในกรณีไฟดับหรือมืดสนิทได้ไม่น้อยกว่า 2 ชั่วโมง ระบุรูปแบบและตำแหน่งติดเทประหว่างก่อสร้าง</t>
  </si>
  <si>
    <t>ชุดผ้าม่าน ม่านม้วน (ROLLER BLIND) กันรังสี UV ได้ไม่น้อยกว่า 90% ขนาดตามแบบ พร้อมชุดรางและอุปกรณ์ติดตั้งครบชุด ระบุสีภายหลัง</t>
  </si>
  <si>
    <t>COLD WATER PIPE (PVC.Class 13.5)</t>
  </si>
  <si>
    <t>dia. 3/4" (20 mm.)</t>
  </si>
  <si>
    <t>dia. 1/2" (15 mm.)</t>
  </si>
  <si>
    <t>VALVE</t>
  </si>
  <si>
    <t>STOP VALVE  มาตรฐาน มอก.</t>
  </si>
  <si>
    <t>1.4.1</t>
  </si>
  <si>
    <t>1.4.2</t>
  </si>
  <si>
    <t>1.4.3</t>
  </si>
  <si>
    <t>SOIL,WASTE PIPE  (PVC.Class "8.5") ภายใน</t>
  </si>
  <si>
    <t>dia. 3"</t>
  </si>
  <si>
    <t>dia. 2"</t>
  </si>
  <si>
    <t>VENT PIPE  (PVC.Class "8.5")</t>
  </si>
  <si>
    <t>dia. 1"</t>
  </si>
  <si>
    <t>Floor Drain "Knack หรือเทียบเท่า"</t>
  </si>
  <si>
    <t>dia. 50 mm.</t>
  </si>
  <si>
    <t>FLOOR CLEAN OUT &amp; CLEAN OUT ฝาทองเหลือง</t>
  </si>
  <si>
    <t xml:space="preserve"> (นายปิยะณัฐ กุลชะโมรินทร์)</t>
  </si>
  <si>
    <t>1.3.11 ระบบโสตทัศนูปกรณ์</t>
  </si>
  <si>
    <t>1.3.12 อื่น ๆ</t>
  </si>
  <si>
    <t xml:space="preserve">ชั้น 2 </t>
  </si>
  <si>
    <t>A1  ชั้น 2 รายละเอียดตามแบบ</t>
  </si>
  <si>
    <t>A2  ชั้น 2 รายละเอียดตามแบบ</t>
  </si>
  <si>
    <t>ป้ายตัวหนังสือ C รายละเอียดตามแบบ</t>
  </si>
  <si>
    <t>ป้าย แบบขยาย D1 รายละเอียดตามแบบ</t>
  </si>
  <si>
    <t>A1  ชั้น 3 รายละเอียดตามแบบ</t>
  </si>
  <si>
    <t>ป้าย E รายละเอียดตามแบบ</t>
  </si>
  <si>
    <t>A1  ชั้น 4 รายละเอียดตามแบบ</t>
  </si>
  <si>
    <t>โต๊ะประชุม ขาเหล็ก 0.60x1.20m.</t>
  </si>
  <si>
    <t>ดูรายละเอียดงานโครงสร้าง</t>
  </si>
  <si>
    <t xml:space="preserve">SMART TV 65 นิ้ว (ห้องประชุมเล็กและห้องประชุมใหญ่) </t>
  </si>
  <si>
    <t>ยกเลิก</t>
  </si>
  <si>
    <t>รายการที่ 7</t>
  </si>
  <si>
    <t>งานรื้อถอนลูกหมุน</t>
  </si>
  <si>
    <t>งานติดตั้งแปกัลวาไนท์สำเร็จรูป ความหนา 0.55 มม.</t>
  </si>
  <si>
    <t>เส้น</t>
  </si>
  <si>
    <t>งานติดตั้งแผ่นหลังคาเหล็กรีดลอน ความหนา 0.4 มม.</t>
  </si>
  <si>
    <t>วัสดุสิ้นเปลือง</t>
  </si>
  <si>
    <t>ติดตั้งหัวกะโหลกตะแกรงระบายน้ำใหม่ 9 จุด</t>
  </si>
  <si>
    <t>โต๊ะประชุม-ขาเหล็ก 0.60x1.20m.</t>
  </si>
  <si>
    <t>งานเคาน์เตอร์ อ่างล้างมือ LA รายละเอียดตามแบบ</t>
  </si>
  <si>
    <t>งานรื้อถอนกระเบื้อง เคาน์เตอร์ ค.ส.ล.</t>
  </si>
  <si>
    <t>อ่างล้างหน้า ฝั่งบนเคาน์เตอร์ หลุมลึก/ก๊อกเดี่ยว/สะดื่อ/ท่อน้ำทิ้ง/วาล์วเปิดปิด/อุปกรณ์ครบชุด</t>
  </si>
  <si>
    <t>กรุกระเบื้องแกรนิตโต้</t>
  </si>
  <si>
    <t>รวมปูนทราย</t>
  </si>
  <si>
    <t>กลุ่มงาน/งาน งานออกแบบและก่อสร้าง กองอาคารและสถานที่ มหาวิทยาลัยขอนแก่น</t>
  </si>
  <si>
    <t xml:space="preserve">ฝ่าย / งาน   งานออกแบบและก่อสร้าง                                                                          </t>
  </si>
  <si>
    <t xml:space="preserve"> ติดตั้งฉนวนใยแก้วกันความร้อน วัสดุไม่ลามไฟ หนา 6 นิ้ว 0.6x4 ม. หุ้มรอบด้านด้วยแผ่นอะลูมิเนียมฟอยล์ 
ตามมาตรฐาน ASTM E84, BS476 ติดตั้งเหนือฝ้าใต้หลังคา ชั้น 5 (ชั้น 5) </t>
  </si>
  <si>
    <t>รวมราคางานอุปกรณ์ประกอบอาคารสั่งซื้อหรือจัดซื้อ</t>
  </si>
  <si>
    <t>ฝ้ายิปซั่มทีบาร์  29x600x600มม 2.23กก/แผ่น /ชนิดกันร้อนพิเศษ ด้วยฉนวนโฟม EPS F Grade ชนิดไม่ลามไฟ สีขาว หนาแน่นสูง ขอบตรง/ขาวเนียน
 มาตรฐาน ASTM 1370,BS1230,ISO 9001,ISO 14001
/ โครงคร่าวเหล็ก ชุบสังกะสี สามารถรับน้ำหนักได้ 7.4 กก./ม. /โครงลวด 4 มม. ปรับระดับ ยึดกับโครงหลังคา/ เป็นผลิตภัณฑ์ที่ได้รับมาตรฐาน มอก. 449-2530มาตรฐานผู้ผลิต  
( ติดตั้งทางเดินและห้องปฎิบัติการ ชั้น 5 )</t>
  </si>
  <si>
    <t>Notebook หน้าจอแสดงผลขนาด 15.6" ระดับ FHD+ WVA หน่วยประมวลผล Intel Core i7-150U Processor หน่วยประมวลผลกราฟิก NVIDIA GeForce MX570A Graphics/ SSD ความจุ 1TB และ RAM DDR5 16GB พร้อมระบบปฏิบัติการ Windows 11 Home พร้อมซอฟต์แวร์ Microsoft Office Home &amp; Student 2021 ในเครื่อง</t>
  </si>
  <si>
    <t>2 งานป้ายสัญลักษณ์</t>
  </si>
  <si>
    <t>3 งานอุปกรณ์ประกอบสถาปัตยกรรม</t>
  </si>
  <si>
    <t>งานอุปกรณ์ประกอบสถาปัตยกรรม</t>
  </si>
  <si>
    <t xml:space="preserve">ตัวเลขเดิม </t>
  </si>
  <si>
    <t>ตัวเลขใหม่</t>
  </si>
  <si>
    <t>เหลืองบ</t>
  </si>
  <si>
    <t>งานอุปกรณ์ประกอบจัดซื้อ ทั่วไป</t>
  </si>
  <si>
    <t>ตู้เก็บสารเคมีอันตราย สำหรับสารเคมีกัดกร่อน (สีน้ำเงิน)</t>
  </si>
  <si>
    <t xml:space="preserve">ตู้เก็บสารเคมีอันตราย สำหรับของเหลวไวไฟ  (สีเหลือง) </t>
  </si>
  <si>
    <t xml:space="preserve">พัดลมติดผนังขนาด 18นิ้วพร้อมติดตั้งเต้ารับคู่ 16A 250Vพร้อมอุปกรณ์ครบชุด </t>
  </si>
  <si>
    <t xml:space="preserve">พัดลมติดผนังขนาด 18 นิ้วพร้อมติดตั้งเต้ารับคู่ 16A 250Vพร้อมอุปกรณ์ครบชุด </t>
  </si>
  <si>
    <t>งานซ่อมแซม ในส่วนที่ได้รับความเสียหายจากงานก่อสร้าง ให้กลับมาใช้งานได้ปกติเดิม + เชื่อมต่อระบบไฟฟ้า + งานรื้อถอนอุปกรณ์ไฟฟ้า + งานรื้อถอนแอร์ พัดลม ของเดิมที่ไม่ได้ใช้งาน + งานรื้อถอนชุดโคมไฟเต้ารับและสวิตซ์เดิมที่ไม่ได้ใช้งาน พร้อมนำส่งคืนคณะ + งานขยับตำแหน่งอุปกรณ์ไฟฟ้า</t>
  </si>
  <si>
    <t xml:space="preserve">สายลำโพง APH SPC 016  16AWG Speaker Cable 2 Core,High-Professonal </t>
  </si>
  <si>
    <t xml:space="preserve">ส่วนบริเวณรื้อถอนโต๊ะปฏิบัติการเดิม ดำเนินการสกัดผิวหินขัดรอบบริเวณขาเหล็กลงประมาณ 3 ซม. และทำการตัดขาเหล็กให้ต่ำกว่าพื้นพร้อมทำผิวหินขัดให้ได้ระดับที่เสมอผิวเดิม </t>
  </si>
  <si>
    <t>งานรื้อถอนท่อก๊าซ หรือ ท่อLPG เดิม</t>
  </si>
  <si>
    <t>งานรื้อถอนงานระบบไฟฟ้า,สายไฟ และอุปกรณ์ที่เกี่ยวข้อง</t>
  </si>
  <si>
    <t>1.4.4</t>
  </si>
  <si>
    <t>รวมขนย้ายและจัดเก็บ</t>
  </si>
  <si>
    <t>รื้อถอนงานระบบ น้ำดีและน้ำเสียเดิม และงานซ่อมแซม ในส่วนที่ได้รับความเสียหายจากงานก่อสร้าง ให้กลับมาใช้งานได้ปกติเดิม</t>
  </si>
  <si>
    <t>งานติดตั้งผนังตกแต่ง  โครงเคร่าไม้เนื้อแข็ง อาบน้ำยากันปลวก/ไม้อัด 6+4mm./ กรุลามิเนต ลาย MATT /สีขาว</t>
  </si>
  <si>
    <t>งานติดตั้งผนังตกแต่ง  โครงเคร่าไม้เนื้อแข็ง อาบน้ำยากันปลวก/ไม้อัด 6+4mm./ กรุลามิเนต ลาย MATT /สีส้ม</t>
  </si>
  <si>
    <t>งานติดตั้งผนังตกแต่ง  โครงเคร่าไม้เนื้อแข็ง อาบน้ำยากันปลวก/ไม้อัด 6+4mm./ กรุลามิเนต ลาย MATT /สีเขียว ยกเลิก</t>
  </si>
  <si>
    <t>งานติดตั้งผนังตกแต่ง  โครงเคร่าไม้เนื้อแข็ง อาบน้ำยากันปลวก/ไม้อัด 6+4mm./ กรุลามิเนต ลาย MATT /สีเหลือง ยกเลิก</t>
  </si>
  <si>
    <t>งานติดตั้งผนังตกแต่ง  โครงเคร่าไม้เนื้อแข็ง อาบน้ำยากันปลวก/ไม้อัด 6+4mm./ กรุลามิเนต ลาย MATT ระบุภายหลัง/ห้องประชุมใหญ่</t>
  </si>
  <si>
    <t>งานติดตั้งผนังตกแต่ง  โครงเคร่าไม้เนื้อแข็ง อาบน้ำยากันปลวก/ไม้อัด 6+4mm./ กรุลามิเนต สีทองเหลือง ระบุภายหลัง/ห้องประชุมใหญ่</t>
  </si>
  <si>
    <t xml:space="preserve">โครงเคร่าไม้เนื้อแข็ง/อาบน้ำยากันปลวก./ ไม้อัด 6mm./กรุลามิเนต /ลายไม้ /สีโอ๊คดำ </t>
  </si>
  <si>
    <t xml:space="preserve">โครงไม้เนื้อแข็ง/อาบน้ำยากันปลวก /ไม้อัด 6mm./กรุลามิเนต /ลาย สี ระบุภายหลัง/ห้องประชุมใหญ่ </t>
  </si>
  <si>
    <t>งานติดตั้งผนังตกแต่ง โครงเคร่าไม้เนื้อแข็ง/ อาบน้ำยากันปลวก/ไม้อัด 6+4mm./ กรุลามิเนต ลาย MATT /สีฟ้า ยกเลิก</t>
  </si>
  <si>
    <t>งานติดตั้งผนังตกแต่ง โครงไม้เนื้อแข็ง/อาบน้ำยากันปลวก/ไม้อัด 6mm./ กรุลามิเนต /กระจกกลาสโค้ท 6 mm. ชั้น 2 สีเขียว</t>
  </si>
  <si>
    <t>งานติดตั้งผนังตกแต่ง โครงไม้เนื้อแข็ง/อาบน้ำยากันปลวก/ไม้อัด 6mm./ กรุลามิเนต /กระจกกลาสโค้ท 6 mm. ชั้น 2 สีส้ม</t>
  </si>
  <si>
    <t>งานติดตั้งผนังตกแต่ง โครงไม้เนื้อแข็ง/อาบน้ำยากันปลวก/ไม้อัด 6mm./ กรุลามิเนต /กระจกกลาสโค้ท 6 mm. ชั้น 2 สีเหลือง</t>
  </si>
  <si>
    <t>งานติดตั้งผนังตกแต่ง โครงไม้เนื้อแข็ง/อาบน้ำยากันปลวก/ไม้อัด 6mm./ กรุลามิเนต /กระจกกลาสโค้ท 6 mm. ชั้น 2 สีฟ้า</t>
  </si>
  <si>
    <t>ผนังไฟเบอร์ซีเมนซ์ 8 mm. สองด้าน (หรือเทียบเท่า) ฉาบรอยต่อเรียบทาสีน้ำพลาสติกภายใน กึ่งเงา Grade Clean Room สี FreshiClean 4723
พร้อมโครงเคร่าเหล็กชุบสังกะสีได้รับรองมาตรฐานอุตสาหกรรม มอก.863-2532 ชั้นคุณภาพที่ 2 สามารถรับน้ำหนักได้ไม่น้อยกว่า 120 นิวตัน / เมตร ไม่เป็นสนิม 
โครงคร่าวเหล็กผ่านกรรมวิธีจุ่มร้อนโดยมีมวลของสังกะสีที่ชุบ หนา
220 กรัม /ตร.ม. เพิ่มคุณสมบัติป้องกันสนิมได้ดีขึ้นตาม มอก. 863-2532 หรือเทียบเท่า (ผู้รับจ้างต้องส่ง Shop drawing)</t>
  </si>
  <si>
    <t>งานติดตั้งผนังตกแต่ง  โครงเคร่าไม้เนื้อแข็ง/อาบน้ำยากันปลวก/ไม้อัด 6+4mm./ กรุลามิเนต ลาย MATT /สีเทา</t>
  </si>
  <si>
    <t>ผนังเดิม ซ่อม ขัด อุดรูสกรู เตรียมพร้อมสำหรับงาน ทาสี</t>
  </si>
  <si>
    <t xml:space="preserve">งานประตู 5 (รายละเอียดตามแบบขยาย) ชุดบานเลื่อนกันห้องสำเร็จรูป โครงไม้เนื้อแข็ง /ไม้อัด 6mm./ กรุลามิเนต ระบุภายหลัง ผนังกั้นเสียงได้ 40db อุปกรณ์ครบชุด ยี่ห้อ Finn decor /egoodpartition /WATTANA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</si>
</sst>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3">
    <numFmt numFmtId="44" formatCode="_-&quot;฿&quot;* #,##0.00_-;\-&quot;฿&quot;* #,##0.00_-;_-&quot;฿&quot;* &quot;-&quot;??_-;_-@_-"/>
    <numFmt numFmtId="43" formatCode="_-* #,##0.00_-;\-* #,##0.00_-;_-* &quot;-&quot;??_-;_-@_-"/>
    <numFmt numFmtId="164" formatCode="_(* #,##0_);_(* \(#,##0\);_(* &quot;-&quot;_);_(@_)"/>
    <numFmt numFmtId="165" formatCode="_(* #,##0.00_);_(* \(#,##0.00\);_(* &quot;-&quot;??_);_(@_)"/>
    <numFmt numFmtId="166" formatCode="_-* #,##0_-;\-* #,##0_-;_-* &quot;-&quot;??_-;_-@_-"/>
    <numFmt numFmtId="167" formatCode="_-* #,##0.0000_-;\-* #,##0.0000_-;_-* &quot;-&quot;??_-;_-@_-"/>
    <numFmt numFmtId="168" formatCode="0.0000"/>
    <numFmt numFmtId="169" formatCode="_(* #,##0.0000_);_(* \(#,##0.0000\);_(* &quot;-&quot;??_);_(@_)"/>
    <numFmt numFmtId="170" formatCode="&quot;ภาษีมูลค่าเพิ่ม              &quot;\ 0\ &quot;%&quot;"/>
    <numFmt numFmtId="171" formatCode="&quot;ดอกเบี้ยเงินกู้               &quot;\ 0\ &quot;%&quot;"/>
    <numFmt numFmtId="172" formatCode="&quot;เงินล่วงหน้าจ่าย           &quot;\ 0\ &quot;%&quot;"/>
    <numFmt numFmtId="173" formatCode="&quot;เงินประกันผลงานหัก     &quot;\ 0\ &quot;%&quot;"/>
    <numFmt numFmtId="174" formatCode="[$-107041E]d\ mmmm\ yyyy;@"/>
    <numFmt numFmtId="175" formatCode="_ &quot;\&quot;* #,##0.00_ ;_ &quot;\&quot;* \-#,##0.00_ ;_ &quot;\&quot;* &quot;-&quot;??_ ;_ @_ "/>
    <numFmt numFmtId="176" formatCode="_-[$€-2]* #,##0.00_-;\-[$€-2]* #,##0.00_-;_-[$€-2]* &quot;-&quot;??_-"/>
    <numFmt numFmtId="177" formatCode="0.00_)"/>
    <numFmt numFmtId="178" formatCode="_ * #,##0_ ;_ * \-#,##0_ ;_ * &quot;-&quot;_ ;_ @_ "/>
    <numFmt numFmtId="179" formatCode="_ * #,##0.00_ ;_ * \-#,##0.00_ ;_ * &quot;-&quot;??_ ;_ @_ "/>
    <numFmt numFmtId="180" formatCode="_ &quot;\&quot;* #,##0_ ;_ &quot;\&quot;* \-#,##0_ ;_ &quot;\&quot;* &quot;-&quot;_ ;_ @_ "/>
    <numFmt numFmtId="181" formatCode="_(* #,##0_);_(* \(#,##0\);_(* &quot;-&quot;??_);_(@_)"/>
    <numFmt numFmtId="182" formatCode="#,##0_ ;\-#,##0\ "/>
    <numFmt numFmtId="183" formatCode="#,##0.0;\-#,##0.0"/>
    <numFmt numFmtId="184" formatCode="&quot;F=&quot;#,###.0000"/>
  </numFmts>
  <fonts count="68">
    <font>
      <sz val="14"/>
      <name val="Cordia New"/>
      <charset val="222"/>
    </font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sz val="14"/>
      <name val="Cordia New"/>
      <family val="2"/>
    </font>
    <font>
      <sz val="11"/>
      <color indexed="8"/>
      <name val="Tahoma"/>
      <family val="2"/>
      <charset val="222"/>
    </font>
    <font>
      <sz val="10"/>
      <name val="Arial"/>
      <family val="2"/>
    </font>
    <font>
      <sz val="14"/>
      <name val="BrowalliaUPC"/>
      <family val="2"/>
      <charset val="222"/>
    </font>
    <font>
      <u/>
      <sz val="10"/>
      <color indexed="12"/>
      <name val="Arial"/>
      <family val="2"/>
    </font>
    <font>
      <sz val="16"/>
      <name val="AngsanaUPC"/>
      <family val="1"/>
    </font>
    <font>
      <sz val="14"/>
      <name val="Cordia New"/>
      <family val="2"/>
    </font>
    <font>
      <sz val="10"/>
      <name val="Arial"/>
      <family val="2"/>
    </font>
    <font>
      <sz val="16"/>
      <name val="AngsanaUPC"/>
      <family val="1"/>
      <charset val="222"/>
    </font>
    <font>
      <sz val="14"/>
      <name val="Cordia New"/>
      <family val="2"/>
    </font>
    <font>
      <sz val="16"/>
      <name val="AngsanaUPC"/>
      <family val="1"/>
    </font>
    <font>
      <sz val="14"/>
      <name val="Angsana New"/>
      <family val="1"/>
    </font>
    <font>
      <sz val="11"/>
      <color indexed="9"/>
      <name val="Tahoma"/>
      <family val="2"/>
      <charset val="222"/>
    </font>
    <font>
      <sz val="11"/>
      <color indexed="20"/>
      <name val="Tahoma"/>
      <family val="2"/>
      <charset val="222"/>
    </font>
    <font>
      <b/>
      <sz val="11"/>
      <color indexed="52"/>
      <name val="Tahoma"/>
      <family val="2"/>
      <charset val="222"/>
    </font>
    <font>
      <b/>
      <sz val="11"/>
      <color indexed="9"/>
      <name val="Tahoma"/>
      <family val="2"/>
      <charset val="222"/>
    </font>
    <font>
      <sz val="11"/>
      <color theme="1"/>
      <name val="Calibri"/>
      <family val="2"/>
      <scheme val="minor"/>
    </font>
    <font>
      <sz val="14"/>
      <name val="AngsanaUPC"/>
      <family val="1"/>
      <charset val="222"/>
    </font>
    <font>
      <b/>
      <sz val="14"/>
      <name val="DilleniaUPC"/>
      <family val="1"/>
      <charset val="222"/>
    </font>
    <font>
      <i/>
      <sz val="11"/>
      <color indexed="23"/>
      <name val="Tahoma"/>
      <family val="2"/>
      <charset val="222"/>
    </font>
    <font>
      <sz val="11"/>
      <color indexed="17"/>
      <name val="Tahoma"/>
      <family val="2"/>
      <charset val="222"/>
    </font>
    <font>
      <sz val="8"/>
      <name val="Arial"/>
      <family val="2"/>
    </font>
    <font>
      <b/>
      <sz val="12"/>
      <name val="Arial"/>
      <family val="2"/>
    </font>
    <font>
      <b/>
      <sz val="15"/>
      <color indexed="56"/>
      <name val="Tahoma"/>
      <family val="2"/>
      <charset val="222"/>
    </font>
    <font>
      <b/>
      <sz val="13"/>
      <color indexed="56"/>
      <name val="Tahoma"/>
      <family val="2"/>
      <charset val="222"/>
    </font>
    <font>
      <b/>
      <sz val="11"/>
      <color indexed="56"/>
      <name val="Tahoma"/>
      <family val="2"/>
      <charset val="222"/>
    </font>
    <font>
      <sz val="11"/>
      <color indexed="62"/>
      <name val="Tahoma"/>
      <family val="2"/>
      <charset val="222"/>
    </font>
    <font>
      <sz val="11"/>
      <color indexed="52"/>
      <name val="Tahoma"/>
      <family val="2"/>
      <charset val="222"/>
    </font>
    <font>
      <sz val="11"/>
      <color indexed="60"/>
      <name val="Tahoma"/>
      <family val="2"/>
      <charset val="222"/>
    </font>
    <font>
      <sz val="7"/>
      <name val="Small Fonts"/>
      <family val="2"/>
    </font>
    <font>
      <b/>
      <i/>
      <sz val="16"/>
      <name val="Helv"/>
    </font>
    <font>
      <sz val="14"/>
      <name val="AngsanaUPC"/>
      <family val="1"/>
    </font>
    <font>
      <b/>
      <sz val="11"/>
      <color indexed="63"/>
      <name val="Tahoma"/>
      <family val="2"/>
      <charset val="222"/>
    </font>
    <font>
      <b/>
      <sz val="18"/>
      <color indexed="56"/>
      <name val="Tahoma"/>
      <family val="2"/>
      <charset val="222"/>
    </font>
    <font>
      <b/>
      <sz val="11"/>
      <color indexed="8"/>
      <name val="Tahoma"/>
      <family val="2"/>
      <charset val="222"/>
    </font>
    <font>
      <sz val="11"/>
      <color indexed="10"/>
      <name val="Tahoma"/>
      <family val="2"/>
      <charset val="222"/>
    </font>
    <font>
      <sz val="12"/>
      <name val="นูลมรผ"/>
      <charset val="222"/>
    </font>
    <font>
      <sz val="14"/>
      <name val="Cordia New"/>
      <family val="2"/>
    </font>
    <font>
      <sz val="14"/>
      <name val="TH Sarabun New"/>
      <family val="2"/>
    </font>
    <font>
      <b/>
      <sz val="14"/>
      <name val="TH Sarabun New"/>
      <family val="2"/>
    </font>
    <font>
      <sz val="14"/>
      <color indexed="10"/>
      <name val="TH Sarabun New"/>
      <family val="2"/>
    </font>
    <font>
      <sz val="14"/>
      <color indexed="8"/>
      <name val="TH Sarabun New"/>
      <family val="2"/>
    </font>
    <font>
      <b/>
      <u/>
      <sz val="14"/>
      <name val="TH Sarabun New"/>
      <family val="2"/>
    </font>
    <font>
      <sz val="14"/>
      <color indexed="12"/>
      <name val="TH Sarabun New"/>
      <family val="2"/>
    </font>
    <font>
      <sz val="16"/>
      <color indexed="8"/>
      <name val="TH Sarabun New"/>
      <family val="2"/>
    </font>
    <font>
      <b/>
      <sz val="16"/>
      <color indexed="8"/>
      <name val="TH Sarabun New"/>
      <family val="2"/>
    </font>
    <font>
      <sz val="11"/>
      <color indexed="8"/>
      <name val="TH Sarabun New"/>
      <family val="2"/>
    </font>
    <font>
      <b/>
      <sz val="16"/>
      <name val="TH Sarabun New"/>
      <family val="2"/>
    </font>
    <font>
      <b/>
      <sz val="14"/>
      <color indexed="8"/>
      <name val="TH Sarabun New"/>
      <family val="2"/>
    </font>
    <font>
      <sz val="14"/>
      <color rgb="FFC00000"/>
      <name val="TH Sarabun New"/>
      <family val="2"/>
    </font>
    <font>
      <u/>
      <sz val="16"/>
      <color indexed="8"/>
      <name val="TH Sarabun New"/>
      <family val="2"/>
    </font>
    <font>
      <sz val="15"/>
      <color indexed="8"/>
      <name val="TH Sarabun New"/>
      <family val="2"/>
    </font>
    <font>
      <sz val="16"/>
      <name val="AngsanaUPC"/>
      <family val="1"/>
    </font>
    <font>
      <sz val="16"/>
      <name val="TH Sarabun New"/>
      <family val="2"/>
    </font>
    <font>
      <sz val="12"/>
      <name val="TH Sarabun New"/>
      <family val="2"/>
    </font>
    <font>
      <b/>
      <sz val="18"/>
      <name val="TH Sarabun New"/>
      <family val="2"/>
    </font>
    <font>
      <b/>
      <i/>
      <sz val="16"/>
      <name val="TH Sarabun New"/>
      <family val="2"/>
    </font>
    <font>
      <b/>
      <sz val="13"/>
      <name val="TH Sarabun New"/>
      <family val="2"/>
    </font>
    <font>
      <b/>
      <sz val="14"/>
      <color indexed="10"/>
      <name val="TH Sarabun New"/>
      <family val="2"/>
    </font>
    <font>
      <strike/>
      <sz val="14"/>
      <name val="TH Sarabun New"/>
      <family val="2"/>
    </font>
    <font>
      <sz val="14"/>
      <color theme="1"/>
      <name val="TH Sarabun New"/>
      <family val="2"/>
    </font>
    <font>
      <b/>
      <strike/>
      <sz val="14"/>
      <name val="TH Sarabun New"/>
      <family val="2"/>
    </font>
    <font>
      <sz val="8"/>
      <name val="Cordia New"/>
      <family val="2"/>
    </font>
    <font>
      <sz val="8"/>
      <name val="Cordia New"/>
      <family val="2"/>
    </font>
  </fonts>
  <fills count="39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8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8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21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21"/>
      </top>
      <bottom style="thin">
        <color indexed="21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/>
      <diagonal/>
    </border>
  </borders>
  <cellStyleXfs count="2255">
    <xf numFmtId="0" fontId="0" fillId="0" borderId="0"/>
    <xf numFmtId="0" fontId="9" fillId="0" borderId="0"/>
    <xf numFmtId="43" fontId="5" fillId="0" borderId="0" applyFont="0" applyFill="0" applyBorder="0" applyAlignment="0" applyProtection="0"/>
    <xf numFmtId="165" fontId="6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165" fontId="11" fillId="0" borderId="0" applyFont="0" applyFill="0" applyBorder="0" applyAlignment="0" applyProtection="0"/>
    <xf numFmtId="0" fontId="11" fillId="0" borderId="0"/>
    <xf numFmtId="43" fontId="13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6" fillId="0" borderId="0"/>
    <xf numFmtId="0" fontId="9" fillId="0" borderId="0"/>
    <xf numFmtId="0" fontId="9" fillId="0" borderId="0"/>
    <xf numFmtId="0" fontId="14" fillId="0" borderId="0"/>
    <xf numFmtId="0" fontId="6" fillId="0" borderId="0"/>
    <xf numFmtId="17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5" fillId="0" borderId="0"/>
    <xf numFmtId="0" fontId="4" fillId="0" borderId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22" borderId="0" applyNumberFormat="0" applyBorder="0" applyAlignment="0" applyProtection="0"/>
    <xf numFmtId="0" fontId="17" fillId="6" borderId="0" applyNumberFormat="0" applyBorder="0" applyAlignment="0" applyProtection="0"/>
    <xf numFmtId="0" fontId="18" fillId="23" borderId="34" applyNumberFormat="0" applyAlignment="0" applyProtection="0"/>
    <xf numFmtId="0" fontId="19" fillId="24" borderId="35" applyNumberFormat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0" fillId="0" borderId="0" applyFont="0" applyFill="0" applyBorder="0" applyAlignment="0" applyProtection="0"/>
    <xf numFmtId="165" fontId="21" fillId="0" borderId="0" applyFont="0" applyFill="0" applyBorder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3" fontId="22" fillId="0" borderId="36" applyFill="0" applyBorder="0" applyProtection="0">
      <alignment horizontal="center" vertical="center"/>
    </xf>
    <xf numFmtId="176" fontId="4" fillId="0" borderId="0" applyFont="0" applyFill="0" applyBorder="0" applyAlignment="0" applyProtection="0"/>
    <xf numFmtId="176" fontId="4" fillId="0" borderId="0" applyFont="0" applyFill="0" applyBorder="0" applyAlignment="0" applyProtection="0"/>
    <xf numFmtId="176" fontId="4" fillId="0" borderId="0" applyFont="0" applyFill="0" applyBorder="0" applyAlignment="0" applyProtection="0"/>
    <xf numFmtId="176" fontId="4" fillId="0" borderId="0" applyFont="0" applyFill="0" applyBorder="0" applyAlignment="0" applyProtection="0"/>
    <xf numFmtId="176" fontId="4" fillId="0" borderId="0" applyFont="0" applyFill="0" applyBorder="0" applyAlignment="0" applyProtection="0"/>
    <xf numFmtId="176" fontId="4" fillId="0" borderId="0" applyFont="0" applyFill="0" applyBorder="0" applyAlignment="0" applyProtection="0"/>
    <xf numFmtId="176" fontId="4" fillId="0" borderId="0" applyFont="0" applyFill="0" applyBorder="0" applyAlignment="0" applyProtection="0"/>
    <xf numFmtId="0" fontId="23" fillId="0" borderId="0" applyNumberFormat="0" applyFill="0" applyBorder="0" applyAlignment="0" applyProtection="0"/>
    <xf numFmtId="0" fontId="24" fillId="7" borderId="0" applyNumberFormat="0" applyBorder="0" applyAlignment="0" applyProtection="0"/>
    <xf numFmtId="38" fontId="25" fillId="3" borderId="0" applyNumberFormat="0" applyBorder="0" applyAlignment="0" applyProtection="0"/>
    <xf numFmtId="0" fontId="26" fillId="0" borderId="27" applyNumberFormat="0" applyAlignment="0" applyProtection="0">
      <alignment horizontal="left" vertical="center"/>
    </xf>
    <xf numFmtId="0" fontId="26" fillId="0" borderId="9">
      <alignment horizontal="left" vertical="center"/>
    </xf>
    <xf numFmtId="0" fontId="27" fillId="0" borderId="37" applyNumberFormat="0" applyFill="0" applyAlignment="0" applyProtection="0"/>
    <xf numFmtId="0" fontId="28" fillId="0" borderId="38" applyNumberFormat="0" applyFill="0" applyAlignment="0" applyProtection="0"/>
    <xf numFmtId="0" fontId="29" fillId="0" borderId="39" applyNumberFormat="0" applyFill="0" applyAlignment="0" applyProtection="0"/>
    <xf numFmtId="0" fontId="29" fillId="0" borderId="0" applyNumberFormat="0" applyFill="0" applyBorder="0" applyAlignment="0" applyProtection="0"/>
    <xf numFmtId="0" fontId="30" fillId="10" borderId="34" applyNumberFormat="0" applyAlignment="0" applyProtection="0"/>
    <xf numFmtId="10" fontId="25" fillId="25" borderId="1" applyNumberFormat="0" applyBorder="0" applyAlignment="0" applyProtection="0"/>
    <xf numFmtId="0" fontId="31" fillId="0" borderId="40" applyNumberFormat="0" applyFill="0" applyAlignment="0" applyProtection="0"/>
    <xf numFmtId="0" fontId="32" fillId="26" borderId="0" applyNumberFormat="0" applyBorder="0" applyAlignment="0" applyProtection="0"/>
    <xf numFmtId="37" fontId="33" fillId="0" borderId="0"/>
    <xf numFmtId="37" fontId="33" fillId="0" borderId="0"/>
    <xf numFmtId="37" fontId="33" fillId="0" borderId="0"/>
    <xf numFmtId="37" fontId="33" fillId="0" borderId="0"/>
    <xf numFmtId="37" fontId="33" fillId="0" borderId="0"/>
    <xf numFmtId="37" fontId="33" fillId="0" borderId="0"/>
    <xf numFmtId="37" fontId="33" fillId="0" borderId="0"/>
    <xf numFmtId="177" fontId="34" fillId="0" borderId="0"/>
    <xf numFmtId="0" fontId="5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4" fillId="0" borderId="0"/>
    <xf numFmtId="0" fontId="3" fillId="0" borderId="0"/>
    <xf numFmtId="0" fontId="35" fillId="0" borderId="0"/>
    <xf numFmtId="0" fontId="6" fillId="27" borderId="41" applyNumberFormat="0" applyFont="0" applyAlignment="0" applyProtection="0"/>
    <xf numFmtId="0" fontId="36" fillId="23" borderId="42" applyNumberFormat="0" applyAlignment="0" applyProtection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1" fontId="6" fillId="0" borderId="32" applyNumberFormat="0" applyFill="0" applyAlignment="0" applyProtection="0">
      <alignment horizontal="center" vertical="center"/>
    </xf>
    <xf numFmtId="1" fontId="6" fillId="0" borderId="32" applyNumberFormat="0" applyFill="0" applyAlignment="0" applyProtection="0">
      <alignment horizontal="center" vertical="center"/>
    </xf>
    <xf numFmtId="1" fontId="6" fillId="0" borderId="32" applyNumberFormat="0" applyFill="0" applyAlignment="0" applyProtection="0">
      <alignment horizontal="center" vertical="center"/>
    </xf>
    <xf numFmtId="1" fontId="6" fillId="0" borderId="32" applyNumberFormat="0" applyFill="0" applyAlignment="0" applyProtection="0">
      <alignment horizontal="center" vertical="center"/>
    </xf>
    <xf numFmtId="1" fontId="6" fillId="0" borderId="32" applyNumberFormat="0" applyFill="0" applyAlignment="0" applyProtection="0">
      <alignment horizontal="center" vertical="center"/>
    </xf>
    <xf numFmtId="1" fontId="6" fillId="0" borderId="32" applyNumberFormat="0" applyFill="0" applyAlignment="0" applyProtection="0">
      <alignment horizontal="center" vertical="center"/>
    </xf>
    <xf numFmtId="1" fontId="6" fillId="0" borderId="32" applyNumberFormat="0" applyFill="0" applyAlignment="0" applyProtection="0">
      <alignment horizontal="center" vertical="center"/>
    </xf>
    <xf numFmtId="0" fontId="6" fillId="0" borderId="0"/>
    <xf numFmtId="0" fontId="6" fillId="0" borderId="0"/>
    <xf numFmtId="0" fontId="37" fillId="0" borderId="0" applyNumberFormat="0" applyFill="0" applyBorder="0" applyAlignment="0" applyProtection="0"/>
    <xf numFmtId="0" fontId="38" fillId="0" borderId="43" applyNumberFormat="0" applyFill="0" applyAlignment="0" applyProtection="0"/>
    <xf numFmtId="0" fontId="39" fillId="0" borderId="0" applyNumberFormat="0" applyFill="0" applyBorder="0" applyAlignment="0" applyProtection="0"/>
    <xf numFmtId="0" fontId="18" fillId="23" borderId="34" applyNumberFormat="0" applyAlignment="0" applyProtection="0"/>
    <xf numFmtId="0" fontId="18" fillId="23" borderId="34" applyNumberFormat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9" fillId="24" borderId="35" applyNumberFormat="0" applyAlignment="0" applyProtection="0"/>
    <xf numFmtId="0" fontId="19" fillId="24" borderId="35" applyNumberFormat="0" applyAlignment="0" applyProtection="0"/>
    <xf numFmtId="0" fontId="31" fillId="0" borderId="40" applyNumberFormat="0" applyFill="0" applyAlignment="0" applyProtection="0"/>
    <xf numFmtId="0" fontId="31" fillId="0" borderId="40" applyNumberFormat="0" applyFill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9" fontId="40" fillId="0" borderId="0" applyFont="0" applyFill="0" applyBorder="0" applyAlignment="0" applyProtection="0"/>
    <xf numFmtId="0" fontId="30" fillId="10" borderId="34" applyNumberFormat="0" applyAlignment="0" applyProtection="0"/>
    <xf numFmtId="0" fontId="30" fillId="10" borderId="34" applyNumberFormat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9" fontId="9" fillId="0" borderId="0" applyFont="0" applyFill="0" applyBorder="0" applyAlignment="0" applyProtection="0"/>
    <xf numFmtId="0" fontId="38" fillId="0" borderId="43" applyNumberFormat="0" applyFill="0" applyAlignment="0" applyProtection="0"/>
    <xf numFmtId="0" fontId="38" fillId="0" borderId="43" applyNumberFormat="0" applyFill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178" fontId="40" fillId="0" borderId="0" applyFont="0" applyFill="0" applyBorder="0" applyAlignment="0" applyProtection="0"/>
    <xf numFmtId="179" fontId="40" fillId="0" borderId="0" applyFont="0" applyFill="0" applyBorder="0" applyAlignment="0" applyProtection="0"/>
    <xf numFmtId="180" fontId="40" fillId="0" borderId="0" applyFont="0" applyFill="0" applyBorder="0" applyAlignment="0" applyProtection="0"/>
    <xf numFmtId="175" fontId="40" fillId="0" borderId="0" applyFont="0" applyFill="0" applyBorder="0" applyAlignment="0" applyProtection="0"/>
    <xf numFmtId="0" fontId="6" fillId="0" borderId="0"/>
    <xf numFmtId="0" fontId="40" fillId="0" borderId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36" fillId="23" borderId="42" applyNumberFormat="0" applyAlignment="0" applyProtection="0"/>
    <xf numFmtId="0" fontId="36" fillId="23" borderId="42" applyNumberFormat="0" applyAlignment="0" applyProtection="0"/>
    <xf numFmtId="0" fontId="7" fillId="27" borderId="41" applyNumberFormat="0" applyFont="0" applyAlignment="0" applyProtection="0"/>
    <xf numFmtId="0" fontId="7" fillId="27" borderId="41" applyNumberFormat="0" applyFont="0" applyAlignment="0" applyProtection="0"/>
    <xf numFmtId="0" fontId="27" fillId="0" borderId="37" applyNumberFormat="0" applyFill="0" applyAlignment="0" applyProtection="0"/>
    <xf numFmtId="0" fontId="27" fillId="0" borderId="37" applyNumberFormat="0" applyFill="0" applyAlignment="0" applyProtection="0"/>
    <xf numFmtId="0" fontId="28" fillId="0" borderId="38" applyNumberFormat="0" applyFill="0" applyAlignment="0" applyProtection="0"/>
    <xf numFmtId="0" fontId="28" fillId="0" borderId="38" applyNumberFormat="0" applyFill="0" applyAlignment="0" applyProtection="0"/>
    <xf numFmtId="0" fontId="29" fillId="0" borderId="39" applyNumberFormat="0" applyFill="0" applyAlignment="0" applyProtection="0"/>
    <xf numFmtId="0" fontId="29" fillId="0" borderId="39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9" fontId="41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9" fillId="0" borderId="0" applyFont="0" applyFill="0" applyBorder="0" applyAlignment="0" applyProtection="0"/>
    <xf numFmtId="0" fontId="2" fillId="0" borderId="0"/>
    <xf numFmtId="9" fontId="4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76" fontId="4" fillId="0" borderId="0" applyFont="0" applyFill="0" applyBorder="0" applyAlignment="0" applyProtection="0"/>
    <xf numFmtId="176" fontId="4" fillId="0" borderId="0" applyFont="0" applyFill="0" applyBorder="0" applyAlignment="0" applyProtection="0"/>
    <xf numFmtId="176" fontId="4" fillId="0" borderId="0" applyFont="0" applyFill="0" applyBorder="0" applyAlignment="0" applyProtection="0"/>
    <xf numFmtId="176" fontId="4" fillId="0" borderId="0" applyFont="0" applyFill="0" applyBorder="0" applyAlignment="0" applyProtection="0"/>
    <xf numFmtId="176" fontId="4" fillId="0" borderId="0" applyFont="0" applyFill="0" applyBorder="0" applyAlignment="0" applyProtection="0"/>
    <xf numFmtId="176" fontId="4" fillId="0" borderId="0" applyFont="0" applyFill="0" applyBorder="0" applyAlignment="0" applyProtection="0"/>
    <xf numFmtId="176" fontId="4" fillId="0" borderId="0" applyFont="0" applyFill="0" applyBorder="0" applyAlignment="0" applyProtection="0"/>
    <xf numFmtId="176" fontId="4" fillId="0" borderId="0" applyFont="0" applyFill="0" applyBorder="0" applyAlignment="0" applyProtection="0"/>
    <xf numFmtId="176" fontId="4" fillId="0" borderId="0" applyFont="0" applyFill="0" applyBorder="0" applyAlignment="0" applyProtection="0"/>
    <xf numFmtId="176" fontId="4" fillId="0" borderId="0" applyFont="0" applyFill="0" applyBorder="0" applyAlignment="0" applyProtection="0"/>
    <xf numFmtId="176" fontId="4" fillId="0" borderId="0" applyFont="0" applyFill="0" applyBorder="0" applyAlignment="0" applyProtection="0"/>
    <xf numFmtId="176" fontId="4" fillId="0" borderId="0" applyFont="0" applyFill="0" applyBorder="0" applyAlignment="0" applyProtection="0"/>
    <xf numFmtId="176" fontId="4" fillId="0" borderId="0" applyFont="0" applyFill="0" applyBorder="0" applyAlignment="0" applyProtection="0"/>
    <xf numFmtId="176" fontId="4" fillId="0" borderId="0" applyFont="0" applyFill="0" applyBorder="0" applyAlignment="0" applyProtection="0"/>
    <xf numFmtId="176" fontId="4" fillId="0" borderId="0" applyFont="0" applyFill="0" applyBorder="0" applyAlignment="0" applyProtection="0"/>
    <xf numFmtId="176" fontId="4" fillId="0" borderId="0" applyFont="0" applyFill="0" applyBorder="0" applyAlignment="0" applyProtection="0"/>
    <xf numFmtId="176" fontId="4" fillId="0" borderId="0" applyFont="0" applyFill="0" applyBorder="0" applyAlignment="0" applyProtection="0"/>
    <xf numFmtId="176" fontId="4" fillId="0" borderId="0" applyFont="0" applyFill="0" applyBorder="0" applyAlignment="0" applyProtection="0"/>
    <xf numFmtId="176" fontId="4" fillId="0" borderId="0" applyFont="0" applyFill="0" applyBorder="0" applyAlignment="0" applyProtection="0"/>
    <xf numFmtId="176" fontId="4" fillId="0" borderId="0" applyFont="0" applyFill="0" applyBorder="0" applyAlignment="0" applyProtection="0"/>
    <xf numFmtId="176" fontId="4" fillId="0" borderId="0" applyFont="0" applyFill="0" applyBorder="0" applyAlignment="0" applyProtection="0"/>
    <xf numFmtId="176" fontId="4" fillId="0" borderId="0" applyFont="0" applyFill="0" applyBorder="0" applyAlignment="0" applyProtection="0"/>
    <xf numFmtId="176" fontId="4" fillId="0" borderId="0" applyFont="0" applyFill="0" applyBorder="0" applyAlignment="0" applyProtection="0"/>
    <xf numFmtId="176" fontId="4" fillId="0" borderId="0" applyFont="0" applyFill="0" applyBorder="0" applyAlignment="0" applyProtection="0"/>
    <xf numFmtId="176" fontId="4" fillId="0" borderId="0" applyFont="0" applyFill="0" applyBorder="0" applyAlignment="0" applyProtection="0"/>
    <xf numFmtId="176" fontId="4" fillId="0" borderId="0" applyFont="0" applyFill="0" applyBorder="0" applyAlignment="0" applyProtection="0"/>
    <xf numFmtId="176" fontId="4" fillId="0" borderId="0" applyFont="0" applyFill="0" applyBorder="0" applyAlignment="0" applyProtection="0"/>
    <xf numFmtId="37" fontId="33" fillId="0" borderId="0"/>
    <xf numFmtId="37" fontId="33" fillId="0" borderId="0"/>
    <xf numFmtId="37" fontId="33" fillId="0" borderId="0"/>
    <xf numFmtId="37" fontId="33" fillId="0" borderId="0"/>
    <xf numFmtId="37" fontId="33" fillId="0" borderId="0"/>
    <xf numFmtId="37" fontId="33" fillId="0" borderId="0"/>
    <xf numFmtId="37" fontId="33" fillId="0" borderId="0"/>
    <xf numFmtId="37" fontId="33" fillId="0" borderId="0"/>
    <xf numFmtId="37" fontId="33" fillId="0" borderId="0"/>
    <xf numFmtId="37" fontId="33" fillId="0" borderId="0"/>
    <xf numFmtId="37" fontId="33" fillId="0" borderId="0"/>
    <xf numFmtId="37" fontId="33" fillId="0" borderId="0"/>
    <xf numFmtId="37" fontId="33" fillId="0" borderId="0"/>
    <xf numFmtId="37" fontId="33" fillId="0" borderId="0"/>
    <xf numFmtId="37" fontId="33" fillId="0" borderId="0"/>
    <xf numFmtId="37" fontId="33" fillId="0" borderId="0"/>
    <xf numFmtId="37" fontId="33" fillId="0" borderId="0"/>
    <xf numFmtId="37" fontId="33" fillId="0" borderId="0"/>
    <xf numFmtId="37" fontId="33" fillId="0" borderId="0"/>
    <xf numFmtId="37" fontId="33" fillId="0" borderId="0"/>
    <xf numFmtId="37" fontId="33" fillId="0" borderId="0"/>
    <xf numFmtId="37" fontId="33" fillId="0" borderId="0"/>
    <xf numFmtId="37" fontId="33" fillId="0" borderId="0"/>
    <xf numFmtId="37" fontId="33" fillId="0" borderId="0"/>
    <xf numFmtId="37" fontId="33" fillId="0" borderId="0"/>
    <xf numFmtId="37" fontId="33" fillId="0" borderId="0"/>
    <xf numFmtId="37" fontId="3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27" borderId="41" applyNumberFormat="0" applyFont="0" applyAlignment="0" applyProtection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1" fontId="6" fillId="0" borderId="32" applyNumberFormat="0" applyFill="0" applyAlignment="0" applyProtection="0">
      <alignment horizontal="center" vertical="center"/>
    </xf>
    <xf numFmtId="1" fontId="6" fillId="0" borderId="32" applyNumberFormat="0" applyFill="0" applyAlignment="0" applyProtection="0">
      <alignment horizontal="center" vertical="center"/>
    </xf>
    <xf numFmtId="1" fontId="6" fillId="0" borderId="32" applyNumberFormat="0" applyFill="0" applyAlignment="0" applyProtection="0">
      <alignment horizontal="center" vertical="center"/>
    </xf>
    <xf numFmtId="1" fontId="6" fillId="0" borderId="32" applyNumberFormat="0" applyFill="0" applyAlignment="0" applyProtection="0">
      <alignment horizontal="center" vertical="center"/>
    </xf>
    <xf numFmtId="1" fontId="6" fillId="0" borderId="32" applyNumberFormat="0" applyFill="0" applyAlignment="0" applyProtection="0">
      <alignment horizontal="center" vertical="center"/>
    </xf>
    <xf numFmtId="1" fontId="6" fillId="0" borderId="32" applyNumberFormat="0" applyFill="0" applyAlignment="0" applyProtection="0">
      <alignment horizontal="center" vertical="center"/>
    </xf>
    <xf numFmtId="1" fontId="6" fillId="0" borderId="32" applyNumberFormat="0" applyFill="0" applyAlignment="0" applyProtection="0">
      <alignment horizontal="center" vertical="center"/>
    </xf>
    <xf numFmtId="1" fontId="6" fillId="0" borderId="32" applyNumberFormat="0" applyFill="0" applyAlignment="0" applyProtection="0">
      <alignment horizontal="center" vertical="center"/>
    </xf>
    <xf numFmtId="1" fontId="6" fillId="0" borderId="32" applyNumberFormat="0" applyFill="0" applyAlignment="0" applyProtection="0">
      <alignment horizontal="center" vertical="center"/>
    </xf>
    <xf numFmtId="1" fontId="6" fillId="0" borderId="32" applyNumberFormat="0" applyFill="0" applyAlignment="0" applyProtection="0">
      <alignment horizontal="center" vertical="center"/>
    </xf>
    <xf numFmtId="1" fontId="6" fillId="0" borderId="32" applyNumberFormat="0" applyFill="0" applyAlignment="0" applyProtection="0">
      <alignment horizontal="center" vertical="center"/>
    </xf>
    <xf numFmtId="1" fontId="6" fillId="0" borderId="32" applyNumberFormat="0" applyFill="0" applyAlignment="0" applyProtection="0">
      <alignment horizontal="center" vertical="center"/>
    </xf>
    <xf numFmtId="1" fontId="6" fillId="0" borderId="32" applyNumberFormat="0" applyFill="0" applyAlignment="0" applyProtection="0">
      <alignment horizontal="center" vertical="center"/>
    </xf>
    <xf numFmtId="1" fontId="6" fillId="0" borderId="32" applyNumberFormat="0" applyFill="0" applyAlignment="0" applyProtection="0">
      <alignment horizontal="center" vertical="center"/>
    </xf>
    <xf numFmtId="1" fontId="6" fillId="0" borderId="32" applyNumberFormat="0" applyFill="0" applyAlignment="0" applyProtection="0">
      <alignment horizontal="center" vertical="center"/>
    </xf>
    <xf numFmtId="1" fontId="6" fillId="0" borderId="32" applyNumberFormat="0" applyFill="0" applyAlignment="0" applyProtection="0">
      <alignment horizontal="center" vertical="center"/>
    </xf>
    <xf numFmtId="1" fontId="6" fillId="0" borderId="32" applyNumberFormat="0" applyFill="0" applyAlignment="0" applyProtection="0">
      <alignment horizontal="center" vertical="center"/>
    </xf>
    <xf numFmtId="1" fontId="6" fillId="0" borderId="32" applyNumberFormat="0" applyFill="0" applyAlignment="0" applyProtection="0">
      <alignment horizontal="center" vertical="center"/>
    </xf>
    <xf numFmtId="1" fontId="6" fillId="0" borderId="32" applyNumberFormat="0" applyFill="0" applyAlignment="0" applyProtection="0">
      <alignment horizontal="center" vertical="center"/>
    </xf>
    <xf numFmtId="1" fontId="6" fillId="0" borderId="32" applyNumberFormat="0" applyFill="0" applyAlignment="0" applyProtection="0">
      <alignment horizontal="center" vertical="center"/>
    </xf>
    <xf numFmtId="1" fontId="6" fillId="0" borderId="32" applyNumberFormat="0" applyFill="0" applyAlignment="0" applyProtection="0">
      <alignment horizontal="center" vertical="center"/>
    </xf>
    <xf numFmtId="1" fontId="6" fillId="0" borderId="32" applyNumberFormat="0" applyFill="0" applyAlignment="0" applyProtection="0">
      <alignment horizontal="center" vertical="center"/>
    </xf>
    <xf numFmtId="1" fontId="6" fillId="0" borderId="32" applyNumberFormat="0" applyFill="0" applyAlignment="0" applyProtection="0">
      <alignment horizontal="center" vertical="center"/>
    </xf>
    <xf numFmtId="1" fontId="6" fillId="0" borderId="32" applyNumberFormat="0" applyFill="0" applyAlignment="0" applyProtection="0">
      <alignment horizontal="center" vertical="center"/>
    </xf>
    <xf numFmtId="1" fontId="6" fillId="0" borderId="32" applyNumberFormat="0" applyFill="0" applyAlignment="0" applyProtection="0">
      <alignment horizontal="center" vertical="center"/>
    </xf>
    <xf numFmtId="1" fontId="6" fillId="0" borderId="32" applyNumberFormat="0" applyFill="0" applyAlignment="0" applyProtection="0">
      <alignment horizontal="center" vertical="center"/>
    </xf>
    <xf numFmtId="1" fontId="6" fillId="0" borderId="32" applyNumberFormat="0" applyFill="0" applyAlignment="0" applyProtection="0">
      <alignment horizontal="center"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4" fillId="0" borderId="0"/>
    <xf numFmtId="0" fontId="12" fillId="0" borderId="0"/>
    <xf numFmtId="0" fontId="9" fillId="0" borderId="0"/>
    <xf numFmtId="165" fontId="6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56" fillId="0" borderId="0"/>
    <xf numFmtId="43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6" fillId="0" borderId="0"/>
    <xf numFmtId="0" fontId="4" fillId="0" borderId="0"/>
    <xf numFmtId="166" fontId="6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9" fillId="0" borderId="0"/>
    <xf numFmtId="165" fontId="6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</cellStyleXfs>
  <cellXfs count="686">
    <xf numFmtId="0" fontId="0" fillId="0" borderId="0" xfId="0"/>
    <xf numFmtId="0" fontId="42" fillId="0" borderId="0" xfId="21" applyFont="1"/>
    <xf numFmtId="0" fontId="42" fillId="0" borderId="0" xfId="22" applyFont="1"/>
    <xf numFmtId="0" fontId="42" fillId="0" borderId="0" xfId="25" applyFont="1"/>
    <xf numFmtId="0" fontId="43" fillId="0" borderId="0" xfId="25" applyFont="1"/>
    <xf numFmtId="3" fontId="42" fillId="0" borderId="0" xfId="29" applyNumberFormat="1" applyFont="1" applyAlignment="1">
      <alignment vertical="center"/>
    </xf>
    <xf numFmtId="0" fontId="43" fillId="0" borderId="0" xfId="22" applyFont="1" applyAlignment="1">
      <alignment horizontal="left"/>
    </xf>
    <xf numFmtId="0" fontId="43" fillId="0" borderId="0" xfId="22" applyFont="1"/>
    <xf numFmtId="0" fontId="43" fillId="0" borderId="0" xfId="22" applyFont="1" applyAlignment="1">
      <alignment horizontal="center"/>
    </xf>
    <xf numFmtId="0" fontId="43" fillId="0" borderId="1" xfId="19" applyFont="1" applyBorder="1" applyAlignment="1">
      <alignment horizontal="center" vertical="center"/>
    </xf>
    <xf numFmtId="0" fontId="42" fillId="0" borderId="1" xfId="19" applyFont="1" applyBorder="1" applyAlignment="1">
      <alignment horizontal="center" vertical="center"/>
    </xf>
    <xf numFmtId="166" fontId="42" fillId="0" borderId="1" xfId="30" applyNumberFormat="1" applyFont="1" applyFill="1" applyBorder="1" applyAlignment="1">
      <alignment vertical="center"/>
    </xf>
    <xf numFmtId="0" fontId="48" fillId="0" borderId="0" xfId="6" applyFont="1"/>
    <xf numFmtId="0" fontId="49" fillId="0" borderId="0" xfId="6" applyFont="1" applyAlignment="1">
      <alignment horizontal="right"/>
    </xf>
    <xf numFmtId="0" fontId="50" fillId="0" borderId="0" xfId="6" applyFont="1"/>
    <xf numFmtId="0" fontId="49" fillId="0" borderId="0" xfId="6" applyFont="1"/>
    <xf numFmtId="0" fontId="49" fillId="0" borderId="19" xfId="6" applyFont="1" applyBorder="1"/>
    <xf numFmtId="0" fontId="51" fillId="0" borderId="19" xfId="6" applyFont="1" applyBorder="1"/>
    <xf numFmtId="0" fontId="48" fillId="0" borderId="19" xfId="6" applyFont="1" applyBorder="1"/>
    <xf numFmtId="0" fontId="52" fillId="0" borderId="0" xfId="6" applyFont="1"/>
    <xf numFmtId="0" fontId="49" fillId="0" borderId="9" xfId="6" applyFont="1" applyBorder="1"/>
    <xf numFmtId="0" fontId="48" fillId="0" borderId="9" xfId="6" applyFont="1" applyBorder="1"/>
    <xf numFmtId="0" fontId="48" fillId="0" borderId="9" xfId="6" applyFont="1" applyBorder="1" applyAlignment="1">
      <alignment horizontal="center"/>
    </xf>
    <xf numFmtId="0" fontId="48" fillId="0" borderId="0" xfId="6" applyFont="1" applyAlignment="1">
      <alignment horizontal="right"/>
    </xf>
    <xf numFmtId="0" fontId="48" fillId="0" borderId="10" xfId="6" applyFont="1" applyBorder="1" applyAlignment="1">
      <alignment horizontal="center"/>
    </xf>
    <xf numFmtId="0" fontId="48" fillId="0" borderId="10" xfId="6" applyFont="1" applyBorder="1"/>
    <xf numFmtId="43" fontId="48" fillId="0" borderId="10" xfId="6" applyNumberFormat="1" applyFont="1" applyBorder="1"/>
    <xf numFmtId="169" fontId="48" fillId="0" borderId="10" xfId="6" applyNumberFormat="1" applyFont="1" applyBorder="1"/>
    <xf numFmtId="0" fontId="48" fillId="0" borderId="4" xfId="6" applyFont="1" applyBorder="1" applyAlignment="1">
      <alignment horizontal="center"/>
    </xf>
    <xf numFmtId="0" fontId="48" fillId="0" borderId="4" xfId="6" applyFont="1" applyBorder="1"/>
    <xf numFmtId="43" fontId="48" fillId="0" borderId="4" xfId="6" applyNumberFormat="1" applyFont="1" applyBorder="1"/>
    <xf numFmtId="43" fontId="48" fillId="0" borderId="4" xfId="10" applyFont="1" applyBorder="1"/>
    <xf numFmtId="168" fontId="48" fillId="0" borderId="4" xfId="6" applyNumberFormat="1" applyFont="1" applyBorder="1"/>
    <xf numFmtId="172" fontId="48" fillId="0" borderId="4" xfId="6" applyNumberFormat="1" applyFont="1" applyBorder="1" applyAlignment="1">
      <alignment horizontal="center"/>
    </xf>
    <xf numFmtId="173" fontId="48" fillId="0" borderId="4" xfId="6" applyNumberFormat="1" applyFont="1" applyBorder="1" applyAlignment="1">
      <alignment horizontal="center"/>
    </xf>
    <xf numFmtId="171" fontId="48" fillId="0" borderId="4" xfId="6" applyNumberFormat="1" applyFont="1" applyBorder="1" applyAlignment="1">
      <alignment horizontal="center"/>
    </xf>
    <xf numFmtId="0" fontId="48" fillId="0" borderId="5" xfId="6" applyFont="1" applyBorder="1"/>
    <xf numFmtId="170" fontId="48" fillId="0" borderId="5" xfId="6" applyNumberFormat="1" applyFont="1" applyBorder="1" applyAlignment="1">
      <alignment horizontal="center"/>
    </xf>
    <xf numFmtId="0" fontId="48" fillId="0" borderId="6" xfId="6" applyFont="1" applyBorder="1"/>
    <xf numFmtId="43" fontId="48" fillId="0" borderId="6" xfId="6" applyNumberFormat="1" applyFont="1" applyBorder="1"/>
    <xf numFmtId="43" fontId="53" fillId="0" borderId="0" xfId="10" applyFont="1"/>
    <xf numFmtId="0" fontId="48" fillId="0" borderId="18" xfId="6" applyFont="1" applyBorder="1"/>
    <xf numFmtId="43" fontId="48" fillId="0" borderId="7" xfId="6" applyNumberFormat="1" applyFont="1" applyBorder="1"/>
    <xf numFmtId="0" fontId="48" fillId="0" borderId="7" xfId="6" applyFont="1" applyBorder="1"/>
    <xf numFmtId="43" fontId="53" fillId="0" borderId="0" xfId="6" applyNumberFormat="1" applyFont="1"/>
    <xf numFmtId="10" fontId="53" fillId="0" borderId="0" xfId="330" applyNumberFormat="1" applyFont="1"/>
    <xf numFmtId="0" fontId="54" fillId="0" borderId="0" xfId="6" applyFont="1" applyAlignment="1">
      <alignment horizontal="center"/>
    </xf>
    <xf numFmtId="0" fontId="48" fillId="0" borderId="0" xfId="6" applyFont="1" applyAlignment="1">
      <alignment horizontal="center"/>
    </xf>
    <xf numFmtId="0" fontId="48" fillId="0" borderId="0" xfId="6" applyFont="1" applyAlignment="1">
      <alignment horizontal="left"/>
    </xf>
    <xf numFmtId="0" fontId="51" fillId="0" borderId="0" xfId="6" applyFont="1"/>
    <xf numFmtId="0" fontId="48" fillId="0" borderId="9" xfId="6" applyFont="1" applyBorder="1" applyAlignment="1">
      <alignment horizontal="right"/>
    </xf>
    <xf numFmtId="0" fontId="48" fillId="0" borderId="9" xfId="6" applyFont="1" applyBorder="1" applyAlignment="1">
      <alignment horizontal="center" vertical="center"/>
    </xf>
    <xf numFmtId="174" fontId="48" fillId="0" borderId="9" xfId="6" applyNumberFormat="1" applyFont="1" applyBorder="1" applyAlignment="1">
      <alignment horizontal="right"/>
    </xf>
    <xf numFmtId="43" fontId="48" fillId="0" borderId="17" xfId="6" applyNumberFormat="1" applyFont="1" applyBorder="1"/>
    <xf numFmtId="43" fontId="50" fillId="0" borderId="0" xfId="6" applyNumberFormat="1" applyFont="1"/>
    <xf numFmtId="0" fontId="48" fillId="0" borderId="8" xfId="6" applyFont="1" applyBorder="1"/>
    <xf numFmtId="0" fontId="48" fillId="0" borderId="8" xfId="6" applyFont="1" applyBorder="1" applyAlignment="1">
      <alignment horizontal="right"/>
    </xf>
    <xf numFmtId="43" fontId="48" fillId="0" borderId="8" xfId="10" applyFont="1" applyBorder="1" applyAlignment="1">
      <alignment horizontal="center"/>
    </xf>
    <xf numFmtId="43" fontId="48" fillId="0" borderId="9" xfId="10" applyFont="1" applyBorder="1" applyAlignment="1">
      <alignment horizontal="center"/>
    </xf>
    <xf numFmtId="174" fontId="48" fillId="0" borderId="9" xfId="6" applyNumberFormat="1" applyFont="1" applyBorder="1" applyAlignment="1">
      <alignment horizontal="left"/>
    </xf>
    <xf numFmtId="0" fontId="48" fillId="0" borderId="3" xfId="6" applyFont="1" applyBorder="1" applyAlignment="1">
      <alignment horizontal="center" vertical="center"/>
    </xf>
    <xf numFmtId="0" fontId="48" fillId="0" borderId="11" xfId="6" applyFont="1" applyBorder="1" applyAlignment="1">
      <alignment horizontal="center" vertical="center"/>
    </xf>
    <xf numFmtId="167" fontId="48" fillId="0" borderId="4" xfId="10" applyNumberFormat="1" applyFont="1" applyBorder="1"/>
    <xf numFmtId="167" fontId="48" fillId="0" borderId="4" xfId="6" applyNumberFormat="1" applyFont="1" applyBorder="1"/>
    <xf numFmtId="167" fontId="48" fillId="0" borderId="5" xfId="6" applyNumberFormat="1" applyFont="1" applyBorder="1"/>
    <xf numFmtId="0" fontId="48" fillId="0" borderId="16" xfId="6" applyFont="1" applyBorder="1"/>
    <xf numFmtId="0" fontId="48" fillId="0" borderId="16" xfId="6" applyFont="1" applyBorder="1" applyAlignment="1">
      <alignment horizontal="right"/>
    </xf>
    <xf numFmtId="0" fontId="48" fillId="0" borderId="16" xfId="6" applyFont="1" applyBorder="1" applyAlignment="1">
      <alignment horizontal="center"/>
    </xf>
    <xf numFmtId="0" fontId="42" fillId="0" borderId="29" xfId="20" applyFont="1" applyBorder="1"/>
    <xf numFmtId="0" fontId="42" fillId="4" borderId="29" xfId="20" applyFont="1" applyFill="1" applyBorder="1"/>
    <xf numFmtId="165" fontId="43" fillId="0" borderId="0" xfId="23" applyNumberFormat="1" applyFont="1"/>
    <xf numFmtId="165" fontId="43" fillId="0" borderId="0" xfId="23" applyNumberFormat="1" applyFont="1" applyAlignment="1">
      <alignment horizontal="center"/>
    </xf>
    <xf numFmtId="0" fontId="43" fillId="2" borderId="26" xfId="22" applyFont="1" applyFill="1" applyBorder="1" applyAlignment="1">
      <alignment horizontal="center" vertical="center"/>
    </xf>
    <xf numFmtId="0" fontId="43" fillId="2" borderId="15" xfId="22" applyFont="1" applyFill="1" applyBorder="1" applyAlignment="1">
      <alignment horizontal="centerContinuous" vertical="center"/>
    </xf>
    <xf numFmtId="0" fontId="43" fillId="2" borderId="15" xfId="22" applyFont="1" applyFill="1" applyBorder="1" applyAlignment="1">
      <alignment horizontal="center" vertical="center"/>
    </xf>
    <xf numFmtId="0" fontId="43" fillId="2" borderId="25" xfId="22" applyFont="1" applyFill="1" applyBorder="1" applyAlignment="1">
      <alignment horizontal="center" vertical="center"/>
    </xf>
    <xf numFmtId="0" fontId="43" fillId="2" borderId="12" xfId="22" applyFont="1" applyFill="1" applyBorder="1" applyAlignment="1">
      <alignment horizontal="centerContinuous" vertical="center"/>
    </xf>
    <xf numFmtId="0" fontId="43" fillId="2" borderId="30" xfId="22" applyFont="1" applyFill="1" applyBorder="1" applyAlignment="1">
      <alignment horizontal="centerContinuous" vertical="center"/>
    </xf>
    <xf numFmtId="0" fontId="43" fillId="2" borderId="31" xfId="22" applyFont="1" applyFill="1" applyBorder="1" applyAlignment="1">
      <alignment horizontal="centerContinuous" vertical="center"/>
    </xf>
    <xf numFmtId="0" fontId="43" fillId="2" borderId="13" xfId="22" applyFont="1" applyFill="1" applyBorder="1" applyAlignment="1">
      <alignment horizontal="centerContinuous" vertical="center"/>
    </xf>
    <xf numFmtId="0" fontId="43" fillId="2" borderId="14" xfId="22" applyFont="1" applyFill="1" applyBorder="1" applyAlignment="1">
      <alignment horizontal="centerContinuous" vertical="center"/>
    </xf>
    <xf numFmtId="0" fontId="42" fillId="4" borderId="28" xfId="8" applyFont="1" applyFill="1" applyBorder="1" applyAlignment="1">
      <alignment horizontal="center" vertical="center"/>
    </xf>
    <xf numFmtId="0" fontId="42" fillId="4" borderId="33" xfId="19" applyFont="1" applyFill="1" applyBorder="1" applyAlignment="1">
      <alignment horizontal="left" vertical="center" wrapText="1"/>
    </xf>
    <xf numFmtId="4" fontId="42" fillId="4" borderId="1" xfId="24" applyNumberFormat="1" applyFont="1" applyFill="1" applyBorder="1" applyAlignment="1">
      <alignment horizontal="center" vertical="center"/>
    </xf>
    <xf numFmtId="0" fontId="42" fillId="4" borderId="1" xfId="19" applyFont="1" applyFill="1" applyBorder="1" applyAlignment="1">
      <alignment horizontal="center" vertical="center"/>
    </xf>
    <xf numFmtId="43" fontId="42" fillId="4" borderId="1" xfId="28" applyFont="1" applyFill="1" applyBorder="1" applyAlignment="1">
      <alignment horizontal="center" vertical="center"/>
    </xf>
    <xf numFmtId="43" fontId="42" fillId="4" borderId="1" xfId="24" applyFont="1" applyFill="1" applyBorder="1" applyAlignment="1">
      <alignment horizontal="center" vertical="center"/>
    </xf>
    <xf numFmtId="43" fontId="42" fillId="0" borderId="1" xfId="24" applyFont="1" applyBorder="1" applyAlignment="1">
      <alignment horizontal="center" vertical="center"/>
    </xf>
    <xf numFmtId="166" fontId="42" fillId="0" borderId="1" xfId="15" applyNumberFormat="1" applyFont="1" applyBorder="1" applyAlignment="1">
      <alignment horizontal="center"/>
    </xf>
    <xf numFmtId="3" fontId="42" fillId="0" borderId="1" xfId="8" applyNumberFormat="1" applyFont="1" applyBorder="1" applyAlignment="1">
      <alignment horizontal="center" vertical="center"/>
    </xf>
    <xf numFmtId="0" fontId="42" fillId="0" borderId="9" xfId="8" applyFont="1" applyBorder="1" applyAlignment="1">
      <alignment vertical="center"/>
    </xf>
    <xf numFmtId="3" fontId="42" fillId="0" borderId="1" xfId="8" applyNumberFormat="1" applyFont="1" applyBorder="1" applyAlignment="1">
      <alignment horizontal="center" vertical="center" wrapText="1"/>
    </xf>
    <xf numFmtId="169" fontId="48" fillId="0" borderId="10" xfId="6" quotePrefix="1" applyNumberFormat="1" applyFont="1" applyBorder="1" applyAlignment="1">
      <alignment horizontal="center"/>
    </xf>
    <xf numFmtId="0" fontId="43" fillId="0" borderId="49" xfId="2233" applyFont="1" applyBorder="1" applyAlignment="1">
      <alignment horizontal="center" vertical="center"/>
    </xf>
    <xf numFmtId="0" fontId="46" fillId="0" borderId="50" xfId="2233" applyFont="1" applyBorder="1" applyAlignment="1">
      <alignment horizontal="left" vertical="center"/>
    </xf>
    <xf numFmtId="0" fontId="43" fillId="0" borderId="51" xfId="2233" applyFont="1" applyBorder="1" applyAlignment="1">
      <alignment horizontal="left" vertical="center"/>
    </xf>
    <xf numFmtId="3" fontId="42" fillId="0" borderId="49" xfId="112" applyNumberFormat="1" applyFont="1" applyFill="1" applyBorder="1" applyAlignment="1">
      <alignment horizontal="center" vertical="center"/>
    </xf>
    <xf numFmtId="0" fontId="42" fillId="0" borderId="49" xfId="2233" applyFont="1" applyBorder="1" applyAlignment="1">
      <alignment horizontal="center" vertical="center"/>
    </xf>
    <xf numFmtId="43" fontId="42" fillId="0" borderId="49" xfId="112" applyFont="1" applyFill="1" applyBorder="1" applyAlignment="1">
      <alignment horizontal="center" vertical="center"/>
    </xf>
    <xf numFmtId="43" fontId="43" fillId="2" borderId="15" xfId="2238" applyFont="1" applyFill="1" applyBorder="1" applyAlignment="1">
      <alignment horizontal="center" vertical="center"/>
    </xf>
    <xf numFmtId="43" fontId="43" fillId="2" borderId="21" xfId="124" applyFont="1" applyFill="1" applyBorder="1" applyAlignment="1">
      <alignment horizontal="centerContinuous"/>
    </xf>
    <xf numFmtId="43" fontId="43" fillId="2" borderId="22" xfId="124" applyFont="1" applyFill="1" applyBorder="1" applyAlignment="1">
      <alignment horizontal="centerContinuous"/>
    </xf>
    <xf numFmtId="43" fontId="43" fillId="2" borderId="15" xfId="124" applyFont="1" applyFill="1" applyBorder="1" applyAlignment="1">
      <alignment horizontal="center" vertical="center"/>
    </xf>
    <xf numFmtId="0" fontId="46" fillId="0" borderId="28" xfId="2240" applyFont="1" applyBorder="1"/>
    <xf numFmtId="0" fontId="43" fillId="0" borderId="9" xfId="2240" applyFont="1" applyBorder="1"/>
    <xf numFmtId="43" fontId="42" fillId="0" borderId="1" xfId="2238" applyFont="1" applyBorder="1" applyAlignment="1">
      <alignment horizontal="right" vertical="center" wrapText="1"/>
    </xf>
    <xf numFmtId="3" fontId="42" fillId="0" borderId="1" xfId="2237" applyNumberFormat="1" applyFont="1" applyBorder="1" applyAlignment="1">
      <alignment horizontal="center" vertical="center" wrapText="1"/>
    </xf>
    <xf numFmtId="0" fontId="43" fillId="0" borderId="0" xfId="2240" applyFont="1"/>
    <xf numFmtId="181" fontId="42" fillId="0" borderId="9" xfId="2242" applyNumberFormat="1" applyFont="1" applyBorder="1"/>
    <xf numFmtId="0" fontId="42" fillId="0" borderId="0" xfId="2240" applyFont="1"/>
    <xf numFmtId="0" fontId="43" fillId="0" borderId="1" xfId="2240" applyFont="1" applyBorder="1" applyAlignment="1">
      <alignment horizontal="center" vertical="center"/>
    </xf>
    <xf numFmtId="43" fontId="42" fillId="0" borderId="1" xfId="2238" applyFont="1" applyFill="1" applyBorder="1" applyAlignment="1">
      <alignment vertical="center" wrapText="1"/>
    </xf>
    <xf numFmtId="43" fontId="42" fillId="0" borderId="1" xfId="2238" applyFont="1" applyFill="1" applyBorder="1" applyAlignment="1">
      <alignment horizontal="right" vertical="center" wrapText="1"/>
    </xf>
    <xf numFmtId="43" fontId="42" fillId="0" borderId="1" xfId="2238" applyFont="1" applyFill="1" applyBorder="1" applyAlignment="1">
      <alignment vertical="center"/>
    </xf>
    <xf numFmtId="0" fontId="42" fillId="0" borderId="9" xfId="8" applyFont="1" applyBorder="1" applyAlignment="1">
      <alignment vertical="center" wrapText="1"/>
    </xf>
    <xf numFmtId="0" fontId="42" fillId="28" borderId="28" xfId="8" applyFont="1" applyFill="1" applyBorder="1" applyAlignment="1">
      <alignment horizontal="center" vertical="center" wrapText="1"/>
    </xf>
    <xf numFmtId="3" fontId="42" fillId="0" borderId="0" xfId="29" applyNumberFormat="1" applyFont="1" applyAlignment="1">
      <alignment horizontal="center" vertical="center"/>
    </xf>
    <xf numFmtId="43" fontId="42" fillId="0" borderId="0" xfId="2238" applyFont="1" applyAlignment="1">
      <alignment vertical="center"/>
    </xf>
    <xf numFmtId="43" fontId="42" fillId="0" borderId="0" xfId="124" applyFont="1" applyAlignment="1">
      <alignment vertical="center"/>
    </xf>
    <xf numFmtId="0" fontId="42" fillId="0" borderId="0" xfId="2237" applyFont="1"/>
    <xf numFmtId="165" fontId="42" fillId="0" borderId="1" xfId="2238" applyNumberFormat="1" applyFont="1" applyFill="1" applyBorder="1" applyAlignment="1">
      <alignment horizontal="left" vertical="center"/>
    </xf>
    <xf numFmtId="43" fontId="42" fillId="0" borderId="1" xfId="2238" applyFont="1" applyFill="1" applyBorder="1" applyAlignment="1">
      <alignment horizontal="left" vertical="center"/>
    </xf>
    <xf numFmtId="43" fontId="42" fillId="0" borderId="1" xfId="2238" applyFont="1" applyFill="1" applyBorder="1" applyAlignment="1">
      <alignment horizontal="center" vertical="center"/>
    </xf>
    <xf numFmtId="43" fontId="42" fillId="0" borderId="1" xfId="2238" applyFont="1" applyFill="1" applyBorder="1" applyAlignment="1">
      <alignment horizontal="left"/>
    </xf>
    <xf numFmtId="0" fontId="42" fillId="0" borderId="1" xfId="26" applyFont="1" applyBorder="1" applyAlignment="1">
      <alignment horizontal="center" vertical="center"/>
    </xf>
    <xf numFmtId="3" fontId="42" fillId="0" borderId="1" xfId="2238" applyNumberFormat="1" applyFont="1" applyFill="1" applyBorder="1" applyAlignment="1">
      <alignment horizontal="center" vertical="center"/>
    </xf>
    <xf numFmtId="0" fontId="42" fillId="0" borderId="33" xfId="26" applyFont="1" applyBorder="1" applyAlignment="1">
      <alignment horizontal="left" vertical="center"/>
    </xf>
    <xf numFmtId="165" fontId="43" fillId="2" borderId="13" xfId="2239" applyFont="1" applyFill="1" applyBorder="1" applyAlignment="1">
      <alignment horizontal="centerContinuous" vertical="center"/>
    </xf>
    <xf numFmtId="165" fontId="43" fillId="2" borderId="2" xfId="2239" applyFont="1" applyFill="1" applyBorder="1" applyAlignment="1">
      <alignment horizontal="center"/>
    </xf>
    <xf numFmtId="165" fontId="43" fillId="2" borderId="15" xfId="2239" applyFont="1" applyFill="1" applyBorder="1" applyAlignment="1">
      <alignment horizontal="center" vertical="center"/>
    </xf>
    <xf numFmtId="165" fontId="43" fillId="2" borderId="22" xfId="2239" applyFont="1" applyFill="1" applyBorder="1" applyAlignment="1">
      <alignment horizontal="centerContinuous"/>
    </xf>
    <xf numFmtId="165" fontId="43" fillId="2" borderId="21" xfId="2239" applyFont="1" applyFill="1" applyBorder="1" applyAlignment="1">
      <alignment horizontal="centerContinuous"/>
    </xf>
    <xf numFmtId="181" fontId="42" fillId="0" borderId="9" xfId="2242" applyNumberFormat="1" applyFont="1" applyBorder="1" applyAlignment="1">
      <alignment wrapText="1"/>
    </xf>
    <xf numFmtId="0" fontId="43" fillId="2" borderId="12" xfId="22" applyFont="1" applyFill="1" applyBorder="1" applyAlignment="1">
      <alignment horizontal="center" vertical="center"/>
    </xf>
    <xf numFmtId="0" fontId="43" fillId="2" borderId="30" xfId="22" applyFont="1" applyFill="1" applyBorder="1" applyAlignment="1">
      <alignment horizontal="center" vertical="center"/>
    </xf>
    <xf numFmtId="0" fontId="43" fillId="2" borderId="31" xfId="22" applyFont="1" applyFill="1" applyBorder="1" applyAlignment="1">
      <alignment horizontal="center" vertical="center"/>
    </xf>
    <xf numFmtId="0" fontId="43" fillId="2" borderId="13" xfId="22" applyFont="1" applyFill="1" applyBorder="1" applyAlignment="1">
      <alignment horizontal="center" vertical="center"/>
    </xf>
    <xf numFmtId="0" fontId="57" fillId="0" borderId="0" xfId="2165" applyFont="1"/>
    <xf numFmtId="0" fontId="48" fillId="0" borderId="0" xfId="2165" applyFont="1"/>
    <xf numFmtId="0" fontId="58" fillId="0" borderId="0" xfId="2165" applyFont="1"/>
    <xf numFmtId="0" fontId="48" fillId="0" borderId="29" xfId="2165" applyFont="1" applyBorder="1"/>
    <xf numFmtId="0" fontId="57" fillId="0" borderId="29" xfId="2165" applyFont="1" applyBorder="1"/>
    <xf numFmtId="0" fontId="42" fillId="0" borderId="0" xfId="2240" applyFont="1" applyAlignment="1">
      <alignment horizontal="center" vertical="center"/>
    </xf>
    <xf numFmtId="0" fontId="59" fillId="0" borderId="0" xfId="22" applyFont="1" applyAlignment="1">
      <alignment horizontal="left"/>
    </xf>
    <xf numFmtId="0" fontId="59" fillId="0" borderId="0" xfId="22" applyFont="1"/>
    <xf numFmtId="43" fontId="59" fillId="0" borderId="0" xfId="1872" applyFont="1" applyAlignment="1">
      <alignment horizontal="center"/>
    </xf>
    <xf numFmtId="0" fontId="59" fillId="0" borderId="0" xfId="22" applyFont="1" applyAlignment="1">
      <alignment horizontal="center"/>
    </xf>
    <xf numFmtId="165" fontId="59" fillId="0" borderId="0" xfId="2245" applyFont="1"/>
    <xf numFmtId="165" fontId="59" fillId="0" borderId="0" xfId="2245" applyFont="1" applyAlignment="1">
      <alignment horizontal="center"/>
    </xf>
    <xf numFmtId="0" fontId="57" fillId="0" borderId="0" xfId="22" applyFont="1"/>
    <xf numFmtId="0" fontId="51" fillId="0" borderId="0" xfId="2240" applyFont="1"/>
    <xf numFmtId="165" fontId="42" fillId="0" borderId="0" xfId="2246" applyFont="1"/>
    <xf numFmtId="0" fontId="43" fillId="29" borderId="62" xfId="2240" applyFont="1" applyFill="1" applyBorder="1" applyAlignment="1">
      <alignment horizontal="center" vertical="center"/>
    </xf>
    <xf numFmtId="0" fontId="43" fillId="29" borderId="63" xfId="2240" applyFont="1" applyFill="1" applyBorder="1" applyAlignment="1">
      <alignment horizontal="center" vertical="center"/>
    </xf>
    <xf numFmtId="0" fontId="43" fillId="29" borderId="8" xfId="2240" applyFont="1" applyFill="1" applyBorder="1" applyAlignment="1">
      <alignment horizontal="center" vertical="center"/>
    </xf>
    <xf numFmtId="0" fontId="43" fillId="29" borderId="64" xfId="2240" applyFont="1" applyFill="1" applyBorder="1" applyAlignment="1">
      <alignment horizontal="center" vertical="center"/>
    </xf>
    <xf numFmtId="165" fontId="43" fillId="29" borderId="64" xfId="2246" applyFont="1" applyFill="1" applyBorder="1" applyAlignment="1">
      <alignment horizontal="center" vertical="center"/>
    </xf>
    <xf numFmtId="0" fontId="43" fillId="29" borderId="65" xfId="2240" applyFont="1" applyFill="1" applyBorder="1" applyAlignment="1">
      <alignment horizontal="center" vertical="center"/>
    </xf>
    <xf numFmtId="0" fontId="42" fillId="29" borderId="0" xfId="2240" applyFont="1" applyFill="1" applyAlignment="1">
      <alignment horizontal="center" vertical="center"/>
    </xf>
    <xf numFmtId="0" fontId="46" fillId="0" borderId="66" xfId="2240" applyFont="1" applyBorder="1" applyAlignment="1">
      <alignment horizontal="center"/>
    </xf>
    <xf numFmtId="0" fontId="43" fillId="0" borderId="1" xfId="2240" applyFont="1" applyBorder="1"/>
    <xf numFmtId="165" fontId="43" fillId="0" borderId="1" xfId="2246" applyFont="1" applyBorder="1"/>
    <xf numFmtId="0" fontId="43" fillId="0" borderId="67" xfId="2240" applyFont="1" applyBorder="1"/>
    <xf numFmtId="0" fontId="43" fillId="30" borderId="66" xfId="2240" applyFont="1" applyFill="1" applyBorder="1" applyAlignment="1">
      <alignment horizontal="center"/>
    </xf>
    <xf numFmtId="0" fontId="43" fillId="30" borderId="28" xfId="2240" applyFont="1" applyFill="1" applyBorder="1"/>
    <xf numFmtId="181" fontId="42" fillId="30" borderId="9" xfId="2246" applyNumberFormat="1" applyFont="1" applyFill="1" applyBorder="1"/>
    <xf numFmtId="181" fontId="42" fillId="30" borderId="1" xfId="2246" applyNumberFormat="1" applyFont="1" applyFill="1" applyBorder="1"/>
    <xf numFmtId="165" fontId="42" fillId="30" borderId="1" xfId="2246" applyFont="1" applyFill="1" applyBorder="1"/>
    <xf numFmtId="181" fontId="42" fillId="30" borderId="67" xfId="2246" applyNumberFormat="1" applyFont="1" applyFill="1" applyBorder="1"/>
    <xf numFmtId="0" fontId="42" fillId="30" borderId="0" xfId="2240" applyFont="1" applyFill="1"/>
    <xf numFmtId="0" fontId="42" fillId="0" borderId="66" xfId="2240" applyFont="1" applyBorder="1"/>
    <xf numFmtId="0" fontId="42" fillId="0" borderId="28" xfId="2240" applyFont="1" applyBorder="1" applyAlignment="1">
      <alignment horizontal="left" indent="1"/>
    </xf>
    <xf numFmtId="181" fontId="42" fillId="0" borderId="9" xfId="2246" applyNumberFormat="1" applyFont="1" applyBorder="1"/>
    <xf numFmtId="181" fontId="42" fillId="0" borderId="1" xfId="2246" applyNumberFormat="1" applyFont="1" applyBorder="1"/>
    <xf numFmtId="165" fontId="42" fillId="0" borderId="1" xfId="2246" applyFont="1" applyBorder="1"/>
    <xf numFmtId="181" fontId="42" fillId="0" borderId="67" xfId="2246" applyNumberFormat="1" applyFont="1" applyBorder="1"/>
    <xf numFmtId="181" fontId="42" fillId="0" borderId="67" xfId="2246" applyNumberFormat="1" applyFont="1" applyFill="1" applyBorder="1"/>
    <xf numFmtId="0" fontId="43" fillId="3" borderId="66" xfId="2240" applyFont="1" applyFill="1" applyBorder="1"/>
    <xf numFmtId="0" fontId="43" fillId="3" borderId="28" xfId="2240" applyFont="1" applyFill="1" applyBorder="1" applyAlignment="1">
      <alignment horizontal="right"/>
    </xf>
    <xf numFmtId="181" fontId="43" fillId="3" borderId="9" xfId="2246" applyNumberFormat="1" applyFont="1" applyFill="1" applyBorder="1"/>
    <xf numFmtId="181" fontId="43" fillId="3" borderId="1" xfId="2246" applyNumberFormat="1" applyFont="1" applyFill="1" applyBorder="1"/>
    <xf numFmtId="165" fontId="43" fillId="3" borderId="1" xfId="2246" applyFont="1" applyFill="1" applyBorder="1"/>
    <xf numFmtId="181" fontId="43" fillId="3" borderId="67" xfId="2246" applyNumberFormat="1" applyFont="1" applyFill="1" applyBorder="1"/>
    <xf numFmtId="0" fontId="43" fillId="3" borderId="0" xfId="2240" applyFont="1" applyFill="1"/>
    <xf numFmtId="0" fontId="42" fillId="0" borderId="28" xfId="2240" applyFont="1" applyBorder="1" applyAlignment="1">
      <alignment horizontal="left" indent="2"/>
    </xf>
    <xf numFmtId="0" fontId="43" fillId="31" borderId="68" xfId="2240" applyFont="1" applyFill="1" applyBorder="1"/>
    <xf numFmtId="0" fontId="43" fillId="31" borderId="69" xfId="2240" applyFont="1" applyFill="1" applyBorder="1" applyAlignment="1">
      <alignment horizontal="center"/>
    </xf>
    <xf numFmtId="0" fontId="43" fillId="31" borderId="70" xfId="2240" applyFont="1" applyFill="1" applyBorder="1"/>
    <xf numFmtId="0" fontId="43" fillId="31" borderId="71" xfId="2240" applyFont="1" applyFill="1" applyBorder="1"/>
    <xf numFmtId="165" fontId="43" fillId="31" borderId="71" xfId="2246" applyFont="1" applyFill="1" applyBorder="1"/>
    <xf numFmtId="0" fontId="43" fillId="31" borderId="72" xfId="2240" applyFont="1" applyFill="1" applyBorder="1"/>
    <xf numFmtId="0" fontId="46" fillId="29" borderId="66" xfId="2240" applyFont="1" applyFill="1" applyBorder="1" applyAlignment="1">
      <alignment horizontal="center"/>
    </xf>
    <xf numFmtId="0" fontId="46" fillId="29" borderId="28" xfId="2240" applyFont="1" applyFill="1" applyBorder="1"/>
    <xf numFmtId="0" fontId="43" fillId="29" borderId="9" xfId="2240" applyFont="1" applyFill="1" applyBorder="1"/>
    <xf numFmtId="0" fontId="43" fillId="29" borderId="1" xfId="2240" applyFont="1" applyFill="1" applyBorder="1"/>
    <xf numFmtId="165" fontId="43" fillId="29" borderId="1" xfId="2246" applyFont="1" applyFill="1" applyBorder="1"/>
    <xf numFmtId="0" fontId="43" fillId="29" borderId="67" xfId="2240" applyFont="1" applyFill="1" applyBorder="1"/>
    <xf numFmtId="0" fontId="43" fillId="29" borderId="0" xfId="2240" applyFont="1" applyFill="1"/>
    <xf numFmtId="0" fontId="42" fillId="0" borderId="28" xfId="2240" applyFont="1" applyBorder="1"/>
    <xf numFmtId="0" fontId="42" fillId="0" borderId="9" xfId="2240" applyFont="1" applyBorder="1"/>
    <xf numFmtId="0" fontId="42" fillId="0" borderId="1" xfId="2240" applyFont="1" applyBorder="1"/>
    <xf numFmtId="0" fontId="42" fillId="0" borderId="67" xfId="2240" applyFont="1" applyBorder="1"/>
    <xf numFmtId="0" fontId="43" fillId="31" borderId="73" xfId="2240" applyFont="1" applyFill="1" applyBorder="1"/>
    <xf numFmtId="0" fontId="43" fillId="31" borderId="36" xfId="2240" applyFont="1" applyFill="1" applyBorder="1" applyAlignment="1">
      <alignment horizontal="center"/>
    </xf>
    <xf numFmtId="181" fontId="43" fillId="31" borderId="74" xfId="2246" applyNumberFormat="1" applyFont="1" applyFill="1" applyBorder="1"/>
    <xf numFmtId="181" fontId="43" fillId="31" borderId="75" xfId="2246" applyNumberFormat="1" applyFont="1" applyFill="1" applyBorder="1"/>
    <xf numFmtId="165" fontId="43" fillId="31" borderId="75" xfId="2246" applyFont="1" applyFill="1" applyBorder="1"/>
    <xf numFmtId="181" fontId="43" fillId="31" borderId="76" xfId="2246" applyNumberFormat="1" applyFont="1" applyFill="1" applyBorder="1"/>
    <xf numFmtId="0" fontId="46" fillId="0" borderId="77" xfId="2240" applyFont="1" applyBorder="1" applyAlignment="1">
      <alignment horizontal="center"/>
    </xf>
    <xf numFmtId="0" fontId="46" fillId="0" borderId="47" xfId="2240" applyFont="1" applyBorder="1"/>
    <xf numFmtId="0" fontId="43" fillId="0" borderId="19" xfId="2240" applyFont="1" applyBorder="1"/>
    <xf numFmtId="0" fontId="43" fillId="0" borderId="52" xfId="2240" applyFont="1" applyBorder="1"/>
    <xf numFmtId="165" fontId="43" fillId="0" borderId="52" xfId="2246" applyFont="1" applyBorder="1"/>
    <xf numFmtId="0" fontId="43" fillId="0" borderId="78" xfId="2240" applyFont="1" applyBorder="1"/>
    <xf numFmtId="0" fontId="43" fillId="0" borderId="66" xfId="2240" applyFont="1" applyBorder="1" applyAlignment="1">
      <alignment horizontal="center"/>
    </xf>
    <xf numFmtId="0" fontId="42" fillId="0" borderId="28" xfId="2240" applyFont="1" applyBorder="1" applyAlignment="1">
      <alignment shrinkToFit="1"/>
    </xf>
    <xf numFmtId="43" fontId="42" fillId="0" borderId="1" xfId="2246" applyNumberFormat="1" applyFont="1" applyBorder="1"/>
    <xf numFmtId="184" fontId="44" fillId="0" borderId="28" xfId="2240" applyNumberFormat="1" applyFont="1" applyBorder="1" applyAlignment="1">
      <alignment horizontal="left"/>
    </xf>
    <xf numFmtId="169" fontId="42" fillId="0" borderId="1" xfId="2246" applyNumberFormat="1" applyFont="1" applyBorder="1"/>
    <xf numFmtId="0" fontId="43" fillId="3" borderId="66" xfId="2240" applyFont="1" applyFill="1" applyBorder="1" applyAlignment="1">
      <alignment horizontal="center"/>
    </xf>
    <xf numFmtId="0" fontId="43" fillId="0" borderId="66" xfId="2240" applyFont="1" applyBorder="1"/>
    <xf numFmtId="0" fontId="43" fillId="0" borderId="28" xfId="2240" applyFont="1" applyBorder="1" applyAlignment="1">
      <alignment horizontal="right"/>
    </xf>
    <xf numFmtId="181" fontId="43" fillId="0" borderId="9" xfId="2246" applyNumberFormat="1" applyFont="1" applyBorder="1"/>
    <xf numFmtId="181" fontId="43" fillId="0" borderId="1" xfId="2246" applyNumberFormat="1" applyFont="1" applyBorder="1"/>
    <xf numFmtId="181" fontId="43" fillId="0" borderId="67" xfId="2246" applyNumberFormat="1" applyFont="1" applyBorder="1"/>
    <xf numFmtId="165" fontId="43" fillId="0" borderId="0" xfId="2240" applyNumberFormat="1" applyFont="1"/>
    <xf numFmtId="0" fontId="42" fillId="3" borderId="68" xfId="2240" applyFont="1" applyFill="1" applyBorder="1"/>
    <xf numFmtId="0" fontId="60" fillId="3" borderId="69" xfId="2240" applyFont="1" applyFill="1" applyBorder="1" applyAlignment="1">
      <alignment horizontal="center" shrinkToFit="1"/>
    </xf>
    <xf numFmtId="0" fontId="60" fillId="3" borderId="70" xfId="2240" applyFont="1" applyFill="1" applyBorder="1"/>
    <xf numFmtId="0" fontId="60" fillId="3" borderId="71" xfId="2240" applyFont="1" applyFill="1" applyBorder="1"/>
    <xf numFmtId="165" fontId="60" fillId="3" borderId="71" xfId="2246" applyFont="1" applyFill="1" applyBorder="1"/>
    <xf numFmtId="4" fontId="60" fillId="3" borderId="72" xfId="2240" applyNumberFormat="1" applyFont="1" applyFill="1" applyBorder="1"/>
    <xf numFmtId="43" fontId="42" fillId="0" borderId="0" xfId="2240" applyNumberFormat="1" applyFont="1"/>
    <xf numFmtId="43" fontId="42" fillId="0" borderId="0" xfId="2247" applyFont="1"/>
    <xf numFmtId="3" fontId="43" fillId="2" borderId="15" xfId="2247" applyNumberFormat="1" applyFont="1" applyFill="1" applyBorder="1" applyAlignment="1">
      <alignment horizontal="center" vertical="center"/>
    </xf>
    <xf numFmtId="165" fontId="43" fillId="2" borderId="15" xfId="2249" applyFont="1" applyFill="1" applyBorder="1" applyAlignment="1">
      <alignment horizontal="center" vertical="center"/>
    </xf>
    <xf numFmtId="0" fontId="47" fillId="0" borderId="0" xfId="22" applyFont="1"/>
    <xf numFmtId="0" fontId="42" fillId="0" borderId="0" xfId="2248" applyFont="1"/>
    <xf numFmtId="3" fontId="43" fillId="2" borderId="13" xfId="2247" applyNumberFormat="1" applyFont="1" applyFill="1" applyBorder="1" applyAlignment="1">
      <alignment horizontal="right" vertical="center"/>
    </xf>
    <xf numFmtId="165" fontId="43" fillId="2" borderId="2" xfId="2249" applyFont="1" applyFill="1" applyBorder="1" applyAlignment="1">
      <alignment horizontal="center"/>
    </xf>
    <xf numFmtId="165" fontId="43" fillId="2" borderId="13" xfId="2249" applyFont="1" applyFill="1" applyBorder="1" applyAlignment="1">
      <alignment horizontal="center" vertical="center"/>
    </xf>
    <xf numFmtId="0" fontId="43" fillId="2" borderId="14" xfId="22" applyFont="1" applyFill="1" applyBorder="1" applyAlignment="1">
      <alignment horizontal="center" vertical="center"/>
    </xf>
    <xf numFmtId="0" fontId="43" fillId="29" borderId="1" xfId="2250" applyFont="1" applyFill="1" applyBorder="1" applyAlignment="1">
      <alignment horizontal="center" vertical="center"/>
    </xf>
    <xf numFmtId="0" fontId="46" fillId="29" borderId="28" xfId="2250" applyFont="1" applyFill="1" applyBorder="1" applyAlignment="1">
      <alignment horizontal="left" vertical="center"/>
    </xf>
    <xf numFmtId="0" fontId="43" fillId="29" borderId="33" xfId="2250" applyFont="1" applyFill="1" applyBorder="1" applyAlignment="1">
      <alignment horizontal="left" vertical="center"/>
    </xf>
    <xf numFmtId="3" fontId="42" fillId="29" borderId="1" xfId="2247" applyNumberFormat="1" applyFont="1" applyFill="1" applyBorder="1" applyAlignment="1">
      <alignment horizontal="right" vertical="center"/>
    </xf>
    <xf numFmtId="0" fontId="42" fillId="29" borderId="1" xfId="2250" applyFont="1" applyFill="1" applyBorder="1" applyAlignment="1">
      <alignment horizontal="center" vertical="center"/>
    </xf>
    <xf numFmtId="43" fontId="42" fillId="29" borderId="1" xfId="1872" applyFont="1" applyFill="1" applyBorder="1" applyAlignment="1">
      <alignment horizontal="center" vertical="center"/>
    </xf>
    <xf numFmtId="0" fontId="42" fillId="29" borderId="1" xfId="1872" applyNumberFormat="1" applyFont="1" applyFill="1" applyBorder="1" applyAlignment="1">
      <alignment horizontal="left" vertical="center"/>
    </xf>
    <xf numFmtId="0" fontId="43" fillId="29" borderId="0" xfId="2250" applyFont="1" applyFill="1" applyAlignment="1">
      <alignment horizontal="center" vertical="center"/>
    </xf>
    <xf numFmtId="43" fontId="43" fillId="29" borderId="0" xfId="1872" applyFont="1" applyFill="1" applyAlignment="1">
      <alignment horizontal="center" vertical="center"/>
    </xf>
    <xf numFmtId="0" fontId="42" fillId="29" borderId="0" xfId="2248" applyFont="1" applyFill="1" applyAlignment="1">
      <alignment vertical="center"/>
    </xf>
    <xf numFmtId="0" fontId="43" fillId="0" borderId="1" xfId="2250" applyFont="1" applyBorder="1" applyAlignment="1">
      <alignment horizontal="center" vertical="center"/>
    </xf>
    <xf numFmtId="0" fontId="46" fillId="0" borderId="28" xfId="2250" applyFont="1" applyBorder="1" applyAlignment="1">
      <alignment horizontal="left" vertical="center"/>
    </xf>
    <xf numFmtId="0" fontId="43" fillId="0" borderId="33" xfId="2250" applyFont="1" applyBorder="1" applyAlignment="1">
      <alignment horizontal="left" vertical="center"/>
    </xf>
    <xf numFmtId="3" fontId="42" fillId="0" borderId="1" xfId="2247" applyNumberFormat="1" applyFont="1" applyBorder="1" applyAlignment="1">
      <alignment horizontal="right" vertical="center"/>
    </xf>
    <xf numFmtId="0" fontId="42" fillId="0" borderId="1" xfId="2250" applyFont="1" applyBorder="1" applyAlignment="1">
      <alignment horizontal="center" vertical="center"/>
    </xf>
    <xf numFmtId="43" fontId="42" fillId="0" borderId="1" xfId="1872" applyFont="1" applyBorder="1" applyAlignment="1">
      <alignment horizontal="center" vertical="center"/>
    </xf>
    <xf numFmtId="0" fontId="42" fillId="0" borderId="1" xfId="1872" applyNumberFormat="1" applyFont="1" applyBorder="1" applyAlignment="1">
      <alignment horizontal="left" vertical="center"/>
    </xf>
    <xf numFmtId="0" fontId="43" fillId="0" borderId="0" xfId="2250" applyFont="1" applyAlignment="1">
      <alignment horizontal="center" vertical="center"/>
    </xf>
    <xf numFmtId="43" fontId="43" fillId="0" borderId="0" xfId="1872" applyFont="1" applyAlignment="1">
      <alignment horizontal="center" vertical="center"/>
    </xf>
    <xf numFmtId="0" fontId="47" fillId="0" borderId="0" xfId="2250" applyFont="1" applyAlignment="1">
      <alignment vertical="center"/>
    </xf>
    <xf numFmtId="183" fontId="43" fillId="32" borderId="1" xfId="8" applyNumberFormat="1" applyFont="1" applyFill="1" applyBorder="1" applyAlignment="1">
      <alignment horizontal="center" vertical="center"/>
    </xf>
    <xf numFmtId="0" fontId="43" fillId="32" borderId="28" xfId="8" applyFont="1" applyFill="1" applyBorder="1" applyAlignment="1">
      <alignment vertical="center"/>
    </xf>
    <xf numFmtId="0" fontId="43" fillId="32" borderId="33" xfId="8" applyFont="1" applyFill="1" applyBorder="1" applyAlignment="1">
      <alignment vertical="center"/>
    </xf>
    <xf numFmtId="3" fontId="43" fillId="32" borderId="1" xfId="2247" applyNumberFormat="1" applyFont="1" applyFill="1" applyBorder="1" applyAlignment="1">
      <alignment horizontal="right" vertical="center"/>
    </xf>
    <xf numFmtId="3" fontId="43" fillId="32" borderId="1" xfId="8" applyNumberFormat="1" applyFont="1" applyFill="1" applyBorder="1" applyAlignment="1">
      <alignment horizontal="center" vertical="center"/>
    </xf>
    <xf numFmtId="43" fontId="42" fillId="32" borderId="1" xfId="1872" applyFont="1" applyFill="1" applyBorder="1" applyAlignment="1">
      <alignment vertical="center"/>
    </xf>
    <xf numFmtId="166" fontId="42" fillId="32" borderId="1" xfId="30" applyNumberFormat="1" applyFont="1" applyFill="1" applyBorder="1" applyAlignment="1">
      <alignment vertical="center"/>
    </xf>
    <xf numFmtId="3" fontId="47" fillId="32" borderId="0" xfId="29" applyNumberFormat="1" applyFont="1" applyFill="1" applyAlignment="1">
      <alignment horizontal="center" vertical="center"/>
    </xf>
    <xf numFmtId="3" fontId="47" fillId="32" borderId="0" xfId="29" applyNumberFormat="1" applyFont="1" applyFill="1" applyAlignment="1">
      <alignment vertical="center"/>
    </xf>
    <xf numFmtId="0" fontId="47" fillId="32" borderId="0" xfId="2250" applyFont="1" applyFill="1" applyAlignment="1">
      <alignment vertical="center"/>
    </xf>
    <xf numFmtId="0" fontId="43" fillId="0" borderId="1" xfId="2248" applyFont="1" applyBorder="1" applyAlignment="1">
      <alignment horizontal="center"/>
    </xf>
    <xf numFmtId="0" fontId="43" fillId="0" borderId="28" xfId="2248" applyFont="1" applyBorder="1" applyAlignment="1">
      <alignment horizontal="left"/>
    </xf>
    <xf numFmtId="0" fontId="43" fillId="0" borderId="33" xfId="2248" applyFont="1" applyBorder="1"/>
    <xf numFmtId="165" fontId="43" fillId="0" borderId="1" xfId="3" applyFont="1" applyBorder="1" applyAlignment="1">
      <alignment horizontal="center"/>
    </xf>
    <xf numFmtId="165" fontId="43" fillId="0" borderId="1" xfId="3" applyFont="1" applyBorder="1"/>
    <xf numFmtId="0" fontId="43" fillId="0" borderId="1" xfId="2248" applyFont="1" applyBorder="1"/>
    <xf numFmtId="43" fontId="47" fillId="0" borderId="0" xfId="2251" applyFont="1" applyAlignment="1">
      <alignment vertical="center"/>
    </xf>
    <xf numFmtId="0" fontId="42" fillId="0" borderId="1" xfId="2248" applyFont="1" applyBorder="1" applyAlignment="1">
      <alignment horizontal="center"/>
    </xf>
    <xf numFmtId="0" fontId="42" fillId="0" borderId="28" xfId="2248" applyFont="1" applyBorder="1" applyAlignment="1">
      <alignment horizontal="left"/>
    </xf>
    <xf numFmtId="0" fontId="42" fillId="28" borderId="33" xfId="2248" applyFont="1" applyFill="1" applyBorder="1"/>
    <xf numFmtId="0" fontId="42" fillId="28" borderId="1" xfId="2248" applyFont="1" applyFill="1" applyBorder="1" applyAlignment="1">
      <alignment horizontal="center"/>
    </xf>
    <xf numFmtId="165" fontId="42" fillId="28" borderId="1" xfId="3" applyFont="1" applyFill="1" applyBorder="1" applyAlignment="1">
      <alignment horizontal="center"/>
    </xf>
    <xf numFmtId="165" fontId="42" fillId="28" borderId="1" xfId="3" applyFont="1" applyFill="1" applyBorder="1"/>
    <xf numFmtId="165" fontId="42" fillId="0" borderId="1" xfId="3" applyFont="1" applyBorder="1"/>
    <xf numFmtId="0" fontId="42" fillId="0" borderId="1" xfId="2248" applyFont="1" applyBorder="1"/>
    <xf numFmtId="0" fontId="42" fillId="0" borderId="28" xfId="2248" applyFont="1" applyBorder="1" applyAlignment="1">
      <alignment horizontal="center"/>
    </xf>
    <xf numFmtId="165" fontId="42" fillId="0" borderId="1" xfId="2248" applyNumberFormat="1" applyFont="1" applyBorder="1" applyAlignment="1">
      <alignment horizontal="center"/>
    </xf>
    <xf numFmtId="165" fontId="42" fillId="28" borderId="1" xfId="2248" applyNumberFormat="1" applyFont="1" applyFill="1" applyBorder="1" applyAlignment="1">
      <alignment horizontal="center"/>
    </xf>
    <xf numFmtId="0" fontId="42" fillId="0" borderId="33" xfId="2248" applyFont="1" applyBorder="1"/>
    <xf numFmtId="0" fontId="43" fillId="33" borderId="1" xfId="22" applyFont="1" applyFill="1" applyBorder="1" applyAlignment="1">
      <alignment horizontal="left"/>
    </xf>
    <xf numFmtId="0" fontId="43" fillId="33" borderId="1" xfId="22" applyFont="1" applyFill="1" applyBorder="1" applyAlignment="1">
      <alignment horizontal="centerContinuous"/>
    </xf>
    <xf numFmtId="165" fontId="43" fillId="33" borderId="1" xfId="22" applyNumberFormat="1" applyFont="1" applyFill="1" applyBorder="1" applyAlignment="1">
      <alignment horizontal="center"/>
    </xf>
    <xf numFmtId="0" fontId="43" fillId="33" borderId="1" xfId="22" applyFont="1" applyFill="1" applyBorder="1" applyAlignment="1">
      <alignment horizontal="center"/>
    </xf>
    <xf numFmtId="165" fontId="43" fillId="33" borderId="1" xfId="2249" applyFont="1" applyFill="1" applyBorder="1" applyAlignment="1">
      <alignment horizontal="center"/>
    </xf>
    <xf numFmtId="165" fontId="43" fillId="33" borderId="1" xfId="2249" applyFont="1" applyFill="1" applyBorder="1"/>
    <xf numFmtId="0" fontId="43" fillId="33" borderId="1" xfId="22" applyFont="1" applyFill="1" applyBorder="1"/>
    <xf numFmtId="0" fontId="47" fillId="33" borderId="0" xfId="2250" applyFont="1" applyFill="1" applyAlignment="1">
      <alignment vertical="center"/>
    </xf>
    <xf numFmtId="43" fontId="47" fillId="33" borderId="0" xfId="2251" applyFont="1" applyFill="1" applyAlignment="1">
      <alignment vertical="center"/>
    </xf>
    <xf numFmtId="0" fontId="47" fillId="0" borderId="0" xfId="2250" applyFont="1" applyAlignment="1">
      <alignment horizontal="left" vertical="center"/>
    </xf>
    <xf numFmtId="3" fontId="47" fillId="0" borderId="0" xfId="2251" applyNumberFormat="1" applyFont="1" applyAlignment="1">
      <alignment horizontal="right" vertical="center"/>
    </xf>
    <xf numFmtId="165" fontId="43" fillId="2" borderId="21" xfId="2249" applyFont="1" applyFill="1" applyBorder="1" applyAlignment="1">
      <alignment horizontal="centerContinuous"/>
    </xf>
    <xf numFmtId="165" fontId="43" fillId="2" borderId="22" xfId="2249" applyFont="1" applyFill="1" applyBorder="1" applyAlignment="1">
      <alignment horizontal="centerContinuous"/>
    </xf>
    <xf numFmtId="0" fontId="43" fillId="2" borderId="0" xfId="22" applyFont="1" applyFill="1" applyAlignment="1">
      <alignment horizontal="center" vertical="center"/>
    </xf>
    <xf numFmtId="166" fontId="43" fillId="2" borderId="0" xfId="2252" applyNumberFormat="1" applyFont="1" applyFill="1" applyBorder="1" applyAlignment="1">
      <alignment horizontal="center" vertical="center"/>
    </xf>
    <xf numFmtId="165" fontId="43" fillId="2" borderId="13" xfId="2249" applyFont="1" applyFill="1" applyBorder="1" applyAlignment="1">
      <alignment horizontal="centerContinuous" vertical="center"/>
    </xf>
    <xf numFmtId="0" fontId="43" fillId="2" borderId="0" xfId="22" applyFont="1" applyFill="1" applyAlignment="1">
      <alignment horizontal="centerContinuous" vertical="center"/>
    </xf>
    <xf numFmtId="166" fontId="43" fillId="2" borderId="0" xfId="2252" applyNumberFormat="1" applyFont="1" applyFill="1" applyBorder="1" applyAlignment="1">
      <alignment horizontal="centerContinuous" vertical="center"/>
    </xf>
    <xf numFmtId="0" fontId="43" fillId="32" borderId="1" xfId="26" applyFont="1" applyFill="1" applyBorder="1" applyAlignment="1">
      <alignment horizontal="center" vertical="center"/>
    </xf>
    <xf numFmtId="0" fontId="46" fillId="32" borderId="28" xfId="26" applyFont="1" applyFill="1" applyBorder="1" applyAlignment="1">
      <alignment horizontal="left" vertical="center"/>
    </xf>
    <xf numFmtId="0" fontId="43" fillId="32" borderId="33" xfId="26" applyFont="1" applyFill="1" applyBorder="1" applyAlignment="1">
      <alignment horizontal="left" vertical="center"/>
    </xf>
    <xf numFmtId="0" fontId="61" fillId="32" borderId="1" xfId="26" applyFont="1" applyFill="1" applyBorder="1" applyAlignment="1">
      <alignment horizontal="center" vertical="center"/>
    </xf>
    <xf numFmtId="43" fontId="61" fillId="32" borderId="1" xfId="149" applyFont="1" applyFill="1" applyBorder="1" applyAlignment="1">
      <alignment horizontal="center"/>
    </xf>
    <xf numFmtId="43" fontId="61" fillId="32" borderId="1" xfId="149" applyFont="1" applyFill="1" applyBorder="1" applyAlignment="1">
      <alignment horizontal="center" vertical="center"/>
    </xf>
    <xf numFmtId="0" fontId="62" fillId="32" borderId="0" xfId="25" applyFont="1" applyFill="1"/>
    <xf numFmtId="0" fontId="43" fillId="0" borderId="1" xfId="26" applyFont="1" applyBorder="1" applyAlignment="1">
      <alignment horizontal="center" vertical="center"/>
    </xf>
    <xf numFmtId="0" fontId="46" fillId="0" borderId="28" xfId="26" applyFont="1" applyBorder="1" applyAlignment="1">
      <alignment horizontal="left" vertical="center"/>
    </xf>
    <xf numFmtId="0" fontId="43" fillId="0" borderId="33" xfId="26" applyFont="1" applyBorder="1" applyAlignment="1">
      <alignment horizontal="left" vertical="center"/>
    </xf>
    <xf numFmtId="0" fontId="61" fillId="0" borderId="1" xfId="26" applyFont="1" applyBorder="1" applyAlignment="1">
      <alignment horizontal="center" vertical="center"/>
    </xf>
    <xf numFmtId="43" fontId="61" fillId="0" borderId="1" xfId="149" applyFont="1" applyBorder="1" applyAlignment="1">
      <alignment horizontal="center"/>
    </xf>
    <xf numFmtId="43" fontId="61" fillId="0" borderId="1" xfId="149" applyFont="1" applyBorder="1" applyAlignment="1">
      <alignment horizontal="center" vertical="center"/>
    </xf>
    <xf numFmtId="0" fontId="62" fillId="0" borderId="0" xfId="25" applyFont="1"/>
    <xf numFmtId="0" fontId="43" fillId="30" borderId="1" xfId="26" applyFont="1" applyFill="1" applyBorder="1" applyAlignment="1">
      <alignment horizontal="center" vertical="center"/>
    </xf>
    <xf numFmtId="0" fontId="43" fillId="30" borderId="28" xfId="26" applyFont="1" applyFill="1" applyBorder="1" applyAlignment="1">
      <alignment horizontal="left" vertical="center"/>
    </xf>
    <xf numFmtId="0" fontId="43" fillId="30" borderId="33" xfId="26" applyFont="1" applyFill="1" applyBorder="1" applyAlignment="1">
      <alignment horizontal="left" vertical="center"/>
    </xf>
    <xf numFmtId="43" fontId="43" fillId="30" borderId="1" xfId="31" applyFont="1" applyFill="1" applyBorder="1" applyAlignment="1">
      <alignment horizontal="center" vertical="center"/>
    </xf>
    <xf numFmtId="43" fontId="43" fillId="30" borderId="1" xfId="149" applyFont="1" applyFill="1" applyBorder="1" applyAlignment="1">
      <alignment horizontal="center"/>
    </xf>
    <xf numFmtId="43" fontId="43" fillId="30" borderId="1" xfId="149" applyFont="1" applyFill="1" applyBorder="1" applyAlignment="1">
      <alignment horizontal="center" vertical="center"/>
    </xf>
    <xf numFmtId="0" fontId="43" fillId="30" borderId="0" xfId="25" applyFont="1" applyFill="1"/>
    <xf numFmtId="0" fontId="42" fillId="0" borderId="0" xfId="2250" applyFont="1" applyAlignment="1">
      <alignment vertical="center"/>
    </xf>
    <xf numFmtId="0" fontId="42" fillId="0" borderId="0" xfId="2250" applyFont="1" applyAlignment="1">
      <alignment horizontal="left" vertical="center"/>
    </xf>
    <xf numFmtId="3" fontId="42" fillId="0" borderId="0" xfId="1872" applyNumberFormat="1" applyFont="1" applyAlignment="1">
      <alignment horizontal="center" vertical="center"/>
    </xf>
    <xf numFmtId="43" fontId="42" fillId="0" borderId="0" xfId="1872" applyFont="1" applyAlignment="1">
      <alignment vertical="center"/>
    </xf>
    <xf numFmtId="166" fontId="42" fillId="0" borderId="0" xfId="2252" applyNumberFormat="1" applyFont="1" applyAlignment="1">
      <alignment vertical="center"/>
    </xf>
    <xf numFmtId="165" fontId="42" fillId="4" borderId="1" xfId="24" applyNumberFormat="1" applyFont="1" applyFill="1" applyBorder="1" applyAlignment="1">
      <alignment horizontal="center" vertical="center"/>
    </xf>
    <xf numFmtId="0" fontId="42" fillId="0" borderId="1" xfId="24" applyNumberFormat="1" applyFont="1" applyBorder="1" applyAlignment="1">
      <alignment horizontal="center" vertical="center"/>
    </xf>
    <xf numFmtId="0" fontId="42" fillId="0" borderId="49" xfId="112" applyNumberFormat="1" applyFont="1" applyFill="1" applyBorder="1" applyAlignment="1">
      <alignment horizontal="center" vertical="center"/>
    </xf>
    <xf numFmtId="0" fontId="43" fillId="4" borderId="28" xfId="8" applyFont="1" applyFill="1" applyBorder="1" applyAlignment="1">
      <alignment horizontal="left" vertical="center"/>
    </xf>
    <xf numFmtId="0" fontId="63" fillId="0" borderId="1" xfId="19" applyFont="1" applyBorder="1" applyAlignment="1">
      <alignment horizontal="center" vertical="center"/>
    </xf>
    <xf numFmtId="0" fontId="63" fillId="4" borderId="28" xfId="8" applyFont="1" applyFill="1" applyBorder="1" applyAlignment="1">
      <alignment horizontal="center" vertical="center"/>
    </xf>
    <xf numFmtId="0" fontId="63" fillId="4" borderId="33" xfId="19" applyFont="1" applyFill="1" applyBorder="1" applyAlignment="1">
      <alignment horizontal="left" vertical="center" wrapText="1"/>
    </xf>
    <xf numFmtId="165" fontId="63" fillId="4" borderId="1" xfId="24" applyNumberFormat="1" applyFont="1" applyFill="1" applyBorder="1" applyAlignment="1">
      <alignment horizontal="center" vertical="center"/>
    </xf>
    <xf numFmtId="0" fontId="63" fillId="4" borderId="1" xfId="19" applyFont="1" applyFill="1" applyBorder="1" applyAlignment="1">
      <alignment horizontal="center" vertical="center"/>
    </xf>
    <xf numFmtId="43" fontId="63" fillId="4" borderId="1" xfId="28" applyFont="1" applyFill="1" applyBorder="1" applyAlignment="1">
      <alignment horizontal="center" vertical="center"/>
    </xf>
    <xf numFmtId="43" fontId="63" fillId="4" borderId="1" xfId="24" applyFont="1" applyFill="1" applyBorder="1" applyAlignment="1">
      <alignment horizontal="center" vertical="center"/>
    </xf>
    <xf numFmtId="43" fontId="63" fillId="0" borderId="1" xfId="24" applyFont="1" applyBorder="1" applyAlignment="1">
      <alignment horizontal="center" vertical="center"/>
    </xf>
    <xf numFmtId="0" fontId="63" fillId="0" borderId="1" xfId="24" applyNumberFormat="1" applyFont="1" applyBorder="1" applyAlignment="1">
      <alignment horizontal="center" vertical="center"/>
    </xf>
    <xf numFmtId="166" fontId="42" fillId="0" borderId="1" xfId="15" applyNumberFormat="1" applyFont="1" applyBorder="1" applyAlignment="1">
      <alignment horizontal="center" vertical="center"/>
    </xf>
    <xf numFmtId="0" fontId="42" fillId="0" borderId="1" xfId="24" applyNumberFormat="1" applyFont="1" applyBorder="1" applyAlignment="1">
      <alignment horizontal="center" vertical="center" wrapText="1"/>
    </xf>
    <xf numFmtId="3" fontId="42" fillId="0" borderId="1" xfId="29" applyNumberFormat="1" applyFont="1" applyBorder="1" applyAlignment="1">
      <alignment horizontal="center" vertical="center"/>
    </xf>
    <xf numFmtId="3" fontId="42" fillId="0" borderId="1" xfId="29" applyNumberFormat="1" applyFont="1" applyBorder="1" applyAlignment="1">
      <alignment vertical="center"/>
    </xf>
    <xf numFmtId="43" fontId="42" fillId="0" borderId="1" xfId="2238" applyFont="1" applyBorder="1" applyAlignment="1">
      <alignment vertical="center"/>
    </xf>
    <xf numFmtId="43" fontId="42" fillId="0" borderId="1" xfId="124" applyFont="1" applyBorder="1" applyAlignment="1">
      <alignment vertical="center"/>
    </xf>
    <xf numFmtId="3" fontId="42" fillId="0" borderId="33" xfId="29" applyNumberFormat="1" applyFont="1" applyBorder="1" applyAlignment="1">
      <alignment vertical="center"/>
    </xf>
    <xf numFmtId="3" fontId="42" fillId="0" borderId="28" xfId="29" applyNumberFormat="1" applyFont="1" applyBorder="1" applyAlignment="1">
      <alignment vertical="center"/>
    </xf>
    <xf numFmtId="43" fontId="42" fillId="0" borderId="1" xfId="2247" applyFont="1" applyFill="1" applyBorder="1" applyAlignment="1">
      <alignment vertical="center"/>
    </xf>
    <xf numFmtId="43" fontId="42" fillId="4" borderId="1" xfId="331" applyFont="1" applyFill="1" applyBorder="1" applyAlignment="1">
      <alignment vertical="center"/>
    </xf>
    <xf numFmtId="43" fontId="42" fillId="0" borderId="1" xfId="1872" applyFont="1" applyFill="1" applyBorder="1" applyAlignment="1">
      <alignment vertical="center"/>
    </xf>
    <xf numFmtId="0" fontId="42" fillId="0" borderId="9" xfId="8" applyFont="1" applyBorder="1" applyAlignment="1">
      <alignment horizontal="left" vertical="center"/>
    </xf>
    <xf numFmtId="43" fontId="42" fillId="28" borderId="1" xfId="1872" applyFont="1" applyFill="1" applyBorder="1" applyAlignment="1">
      <alignment horizontal="center" vertical="center"/>
    </xf>
    <xf numFmtId="3" fontId="43" fillId="0" borderId="1" xfId="29" applyNumberFormat="1" applyFont="1" applyBorder="1" applyAlignment="1">
      <alignment vertical="center"/>
    </xf>
    <xf numFmtId="3" fontId="43" fillId="0" borderId="1" xfId="29" applyNumberFormat="1" applyFont="1" applyBorder="1" applyAlignment="1">
      <alignment horizontal="center" vertical="center"/>
    </xf>
    <xf numFmtId="3" fontId="43" fillId="37" borderId="1" xfId="29" applyNumberFormat="1" applyFont="1" applyFill="1" applyBorder="1" applyAlignment="1">
      <alignment horizontal="center" vertical="center"/>
    </xf>
    <xf numFmtId="3" fontId="43" fillId="37" borderId="1" xfId="29" applyNumberFormat="1" applyFont="1" applyFill="1" applyBorder="1" applyAlignment="1">
      <alignment vertical="center"/>
    </xf>
    <xf numFmtId="3" fontId="42" fillId="37" borderId="1" xfId="29" applyNumberFormat="1" applyFont="1" applyFill="1" applyBorder="1" applyAlignment="1">
      <alignment vertical="center"/>
    </xf>
    <xf numFmtId="43" fontId="42" fillId="37" borderId="1" xfId="2238" applyFont="1" applyFill="1" applyBorder="1" applyAlignment="1">
      <alignment vertical="center"/>
    </xf>
    <xf numFmtId="43" fontId="42" fillId="37" borderId="1" xfId="124" applyFont="1" applyFill="1" applyBorder="1" applyAlignment="1">
      <alignment vertical="center"/>
    </xf>
    <xf numFmtId="3" fontId="42" fillId="37" borderId="0" xfId="29" applyNumberFormat="1" applyFont="1" applyFill="1" applyAlignment="1">
      <alignment vertical="center"/>
    </xf>
    <xf numFmtId="3" fontId="42" fillId="34" borderId="1" xfId="29" applyNumberFormat="1" applyFont="1" applyFill="1" applyBorder="1" applyAlignment="1">
      <alignment horizontal="center" vertical="center"/>
    </xf>
    <xf numFmtId="3" fontId="42" fillId="34" borderId="1" xfId="29" applyNumberFormat="1" applyFont="1" applyFill="1" applyBorder="1" applyAlignment="1">
      <alignment vertical="center"/>
    </xf>
    <xf numFmtId="43" fontId="42" fillId="34" borderId="1" xfId="2238" applyFont="1" applyFill="1" applyBorder="1" applyAlignment="1">
      <alignment vertical="center"/>
    </xf>
    <xf numFmtId="43" fontId="42" fillId="34" borderId="1" xfId="124" applyFont="1" applyFill="1" applyBorder="1" applyAlignment="1">
      <alignment vertical="center"/>
    </xf>
    <xf numFmtId="3" fontId="42" fillId="34" borderId="0" xfId="29" applyNumberFormat="1" applyFont="1" applyFill="1" applyAlignment="1">
      <alignment vertical="center"/>
    </xf>
    <xf numFmtId="0" fontId="43" fillId="38" borderId="1" xfId="2240" applyFont="1" applyFill="1" applyBorder="1" applyAlignment="1">
      <alignment horizontal="center" vertical="center"/>
    </xf>
    <xf numFmtId="0" fontId="43" fillId="38" borderId="28" xfId="2240" applyFont="1" applyFill="1" applyBorder="1" applyAlignment="1">
      <alignment horizontal="left" vertical="center" indent="1"/>
    </xf>
    <xf numFmtId="181" fontId="43" fillId="38" borderId="9" xfId="2242" applyNumberFormat="1" applyFont="1" applyFill="1" applyBorder="1"/>
    <xf numFmtId="43" fontId="42" fillId="38" borderId="1" xfId="2238" applyFont="1" applyFill="1" applyBorder="1" applyAlignment="1">
      <alignment horizontal="right" vertical="center" wrapText="1"/>
    </xf>
    <xf numFmtId="3" fontId="42" fillId="38" borderId="1" xfId="2237" applyNumberFormat="1" applyFont="1" applyFill="1" applyBorder="1" applyAlignment="1">
      <alignment horizontal="center" vertical="center" wrapText="1"/>
    </xf>
    <xf numFmtId="4" fontId="42" fillId="38" borderId="1" xfId="2241" applyNumberFormat="1" applyFont="1" applyFill="1" applyBorder="1" applyAlignment="1">
      <alignment horizontal="right" vertical="center"/>
    </xf>
    <xf numFmtId="4" fontId="42" fillId="38" borderId="1" xfId="2237" applyNumberFormat="1" applyFont="1" applyFill="1" applyBorder="1" applyAlignment="1">
      <alignment horizontal="right" vertical="center" wrapText="1"/>
    </xf>
    <xf numFmtId="4" fontId="42" fillId="38" borderId="1" xfId="2237" applyNumberFormat="1" applyFont="1" applyFill="1" applyBorder="1" applyAlignment="1">
      <alignment vertical="center" wrapText="1"/>
    </xf>
    <xf numFmtId="166" fontId="42" fillId="38" borderId="1" xfId="30" applyNumberFormat="1" applyFont="1" applyFill="1" applyBorder="1" applyAlignment="1">
      <alignment vertical="center"/>
    </xf>
    <xf numFmtId="0" fontId="42" fillId="38" borderId="0" xfId="2240" applyFont="1" applyFill="1"/>
    <xf numFmtId="0" fontId="43" fillId="38" borderId="28" xfId="2237" applyFont="1" applyFill="1" applyBorder="1" applyAlignment="1">
      <alignment vertical="top"/>
    </xf>
    <xf numFmtId="0" fontId="42" fillId="38" borderId="9" xfId="26" applyFont="1" applyFill="1" applyBorder="1" applyAlignment="1">
      <alignment horizontal="left" vertical="center"/>
    </xf>
    <xf numFmtId="3" fontId="42" fillId="38" borderId="1" xfId="2238" applyNumberFormat="1" applyFont="1" applyFill="1" applyBorder="1" applyAlignment="1">
      <alignment horizontal="center" vertical="center"/>
    </xf>
    <xf numFmtId="0" fontId="42" fillId="38" borderId="1" xfId="26" applyFont="1" applyFill="1" applyBorder="1" applyAlignment="1">
      <alignment horizontal="center" vertical="center"/>
    </xf>
    <xf numFmtId="43" fontId="42" fillId="38" borderId="1" xfId="2238" applyFont="1" applyFill="1" applyBorder="1" applyAlignment="1">
      <alignment horizontal="center" vertical="center"/>
    </xf>
    <xf numFmtId="43" fontId="42" fillId="38" borderId="1" xfId="2238" applyFont="1" applyFill="1" applyBorder="1" applyAlignment="1">
      <alignment horizontal="left"/>
    </xf>
    <xf numFmtId="43" fontId="42" fillId="38" borderId="1" xfId="2238" applyFont="1" applyFill="1" applyBorder="1" applyAlignment="1">
      <alignment horizontal="left" vertical="center"/>
    </xf>
    <xf numFmtId="165" fontId="42" fillId="38" borderId="1" xfId="2238" applyNumberFormat="1" applyFont="1" applyFill="1" applyBorder="1" applyAlignment="1">
      <alignment horizontal="left" vertical="center"/>
    </xf>
    <xf numFmtId="0" fontId="42" fillId="38" borderId="0" xfId="2237" applyFont="1" applyFill="1"/>
    <xf numFmtId="0" fontId="43" fillId="37" borderId="1" xfId="19" applyFont="1" applyFill="1" applyBorder="1" applyAlignment="1">
      <alignment horizontal="center" vertical="center"/>
    </xf>
    <xf numFmtId="0" fontId="43" fillId="37" borderId="1" xfId="2237" applyFont="1" applyFill="1" applyBorder="1" applyAlignment="1">
      <alignment vertical="top"/>
    </xf>
    <xf numFmtId="0" fontId="42" fillId="37" borderId="33" xfId="26" applyFont="1" applyFill="1" applyBorder="1" applyAlignment="1">
      <alignment horizontal="left" vertical="center"/>
    </xf>
    <xf numFmtId="3" fontId="42" fillId="37" borderId="1" xfId="2238" applyNumberFormat="1" applyFont="1" applyFill="1" applyBorder="1" applyAlignment="1">
      <alignment horizontal="center" vertical="center"/>
    </xf>
    <xf numFmtId="0" fontId="42" fillId="37" borderId="1" xfId="26" applyFont="1" applyFill="1" applyBorder="1" applyAlignment="1">
      <alignment horizontal="center" vertical="center"/>
    </xf>
    <xf numFmtId="43" fontId="42" fillId="37" borderId="1" xfId="2238" applyFont="1" applyFill="1" applyBorder="1" applyAlignment="1">
      <alignment horizontal="center" vertical="center"/>
    </xf>
    <xf numFmtId="43" fontId="42" fillId="37" borderId="1" xfId="2238" applyFont="1" applyFill="1" applyBorder="1" applyAlignment="1">
      <alignment horizontal="left"/>
    </xf>
    <xf numFmtId="43" fontId="42" fillId="37" borderId="1" xfId="2238" applyFont="1" applyFill="1" applyBorder="1" applyAlignment="1">
      <alignment horizontal="left" vertical="center"/>
    </xf>
    <xf numFmtId="165" fontId="42" fillId="37" borderId="1" xfId="2238" applyNumberFormat="1" applyFont="1" applyFill="1" applyBorder="1" applyAlignment="1">
      <alignment horizontal="left" vertical="center"/>
    </xf>
    <xf numFmtId="0" fontId="42" fillId="37" borderId="0" xfId="2237" applyFont="1" applyFill="1"/>
    <xf numFmtId="43" fontId="43" fillId="34" borderId="1" xfId="124" applyFont="1" applyFill="1" applyBorder="1" applyAlignment="1">
      <alignment vertical="center"/>
    </xf>
    <xf numFmtId="3" fontId="42" fillId="35" borderId="1" xfId="29" applyNumberFormat="1" applyFont="1" applyFill="1" applyBorder="1" applyAlignment="1">
      <alignment horizontal="center" vertical="center"/>
    </xf>
    <xf numFmtId="43" fontId="42" fillId="35" borderId="1" xfId="2238" applyFont="1" applyFill="1" applyBorder="1" applyAlignment="1">
      <alignment vertical="center"/>
    </xf>
    <xf numFmtId="3" fontId="42" fillId="35" borderId="1" xfId="29" applyNumberFormat="1" applyFont="1" applyFill="1" applyBorder="1" applyAlignment="1">
      <alignment vertical="center"/>
    </xf>
    <xf numFmtId="43" fontId="42" fillId="35" borderId="1" xfId="124" applyFont="1" applyFill="1" applyBorder="1" applyAlignment="1">
      <alignment vertical="center"/>
    </xf>
    <xf numFmtId="3" fontId="42" fillId="35" borderId="0" xfId="29" applyNumberFormat="1" applyFont="1" applyFill="1" applyAlignment="1">
      <alignment vertical="center"/>
    </xf>
    <xf numFmtId="182" fontId="43" fillId="37" borderId="53" xfId="8" applyNumberFormat="1" applyFont="1" applyFill="1" applyBorder="1" applyAlignment="1">
      <alignment horizontal="center" vertical="center"/>
    </xf>
    <xf numFmtId="0" fontId="43" fillId="37" borderId="54" xfId="8" applyFont="1" applyFill="1" applyBorder="1" applyAlignment="1">
      <alignment vertical="center"/>
    </xf>
    <xf numFmtId="0" fontId="43" fillId="37" borderId="55" xfId="8" applyFont="1" applyFill="1" applyBorder="1" applyAlignment="1">
      <alignment vertical="center"/>
    </xf>
    <xf numFmtId="3" fontId="43" fillId="37" borderId="56" xfId="30" applyNumberFormat="1" applyFont="1" applyFill="1" applyBorder="1" applyAlignment="1">
      <alignment horizontal="center" vertical="center"/>
    </xf>
    <xf numFmtId="3" fontId="43" fillId="37" borderId="56" xfId="8" applyNumberFormat="1" applyFont="1" applyFill="1" applyBorder="1" applyAlignment="1">
      <alignment horizontal="center" vertical="center"/>
    </xf>
    <xf numFmtId="43" fontId="42" fillId="37" borderId="56" xfId="112" applyFont="1" applyFill="1" applyBorder="1" applyAlignment="1">
      <alignment vertical="center"/>
    </xf>
    <xf numFmtId="166" fontId="42" fillId="37" borderId="57" xfId="30" applyNumberFormat="1" applyFont="1" applyFill="1" applyBorder="1" applyAlignment="1">
      <alignment horizontal="center" vertical="center"/>
    </xf>
    <xf numFmtId="0" fontId="43" fillId="38" borderId="52" xfId="19" applyFont="1" applyFill="1" applyBorder="1" applyAlignment="1">
      <alignment horizontal="center" vertical="center"/>
    </xf>
    <xf numFmtId="3" fontId="43" fillId="38" borderId="52" xfId="24" applyNumberFormat="1" applyFont="1" applyFill="1" applyBorder="1" applyAlignment="1">
      <alignment horizontal="center" vertical="center"/>
    </xf>
    <xf numFmtId="43" fontId="43" fillId="38" borderId="52" xfId="24" applyFont="1" applyFill="1" applyBorder="1" applyAlignment="1">
      <alignment horizontal="center" vertical="center"/>
    </xf>
    <xf numFmtId="0" fontId="43" fillId="38" borderId="52" xfId="24" applyNumberFormat="1" applyFont="1" applyFill="1" applyBorder="1" applyAlignment="1">
      <alignment horizontal="center" vertical="center"/>
    </xf>
    <xf numFmtId="0" fontId="42" fillId="38" borderId="0" xfId="25" applyFont="1" applyFill="1"/>
    <xf numFmtId="0" fontId="42" fillId="34" borderId="2" xfId="19" applyFont="1" applyFill="1" applyBorder="1" applyAlignment="1">
      <alignment horizontal="center" vertical="center"/>
    </xf>
    <xf numFmtId="4" fontId="42" fillId="34" borderId="2" xfId="24" applyNumberFormat="1" applyFont="1" applyFill="1" applyBorder="1" applyAlignment="1">
      <alignment horizontal="center" vertical="center"/>
    </xf>
    <xf numFmtId="43" fontId="42" fillId="34" borderId="2" xfId="28" applyFont="1" applyFill="1" applyBorder="1" applyAlignment="1">
      <alignment horizontal="center" vertical="center"/>
    </xf>
    <xf numFmtId="43" fontId="42" fillId="34" borderId="2" xfId="24" applyFont="1" applyFill="1" applyBorder="1" applyAlignment="1">
      <alignment horizontal="center" vertical="center"/>
    </xf>
    <xf numFmtId="43" fontId="43" fillId="34" borderId="2" xfId="24" applyFont="1" applyFill="1" applyBorder="1" applyAlignment="1">
      <alignment horizontal="center" vertical="center"/>
    </xf>
    <xf numFmtId="0" fontId="42" fillId="34" borderId="2" xfId="24" applyNumberFormat="1" applyFont="1" applyFill="1" applyBorder="1" applyAlignment="1">
      <alignment horizontal="center" vertical="center"/>
    </xf>
    <xf numFmtId="0" fontId="42" fillId="35" borderId="56" xfId="19" applyFont="1" applyFill="1" applyBorder="1" applyAlignment="1">
      <alignment horizontal="center" vertical="center"/>
    </xf>
    <xf numFmtId="4" fontId="42" fillId="35" borderId="56" xfId="24" applyNumberFormat="1" applyFont="1" applyFill="1" applyBorder="1" applyAlignment="1">
      <alignment horizontal="center" vertical="center"/>
    </xf>
    <xf numFmtId="43" fontId="42" fillId="35" borderId="56" xfId="28" applyFont="1" applyFill="1" applyBorder="1" applyAlignment="1">
      <alignment horizontal="center" vertical="center"/>
    </xf>
    <xf numFmtId="43" fontId="42" fillId="35" borderId="56" xfId="24" applyFont="1" applyFill="1" applyBorder="1" applyAlignment="1">
      <alignment horizontal="center" vertical="center"/>
    </xf>
    <xf numFmtId="43" fontId="43" fillId="35" borderId="56" xfId="24" applyFont="1" applyFill="1" applyBorder="1" applyAlignment="1">
      <alignment horizontal="center" vertical="center"/>
    </xf>
    <xf numFmtId="0" fontId="42" fillId="35" borderId="56" xfId="24" applyNumberFormat="1" applyFont="1" applyFill="1" applyBorder="1" applyAlignment="1">
      <alignment horizontal="center" vertical="center"/>
    </xf>
    <xf numFmtId="0" fontId="42" fillId="35" borderId="2" xfId="19" applyFont="1" applyFill="1" applyBorder="1" applyAlignment="1">
      <alignment horizontal="center" vertical="center"/>
    </xf>
    <xf numFmtId="4" fontId="42" fillId="35" borderId="2" xfId="24" applyNumberFormat="1" applyFont="1" applyFill="1" applyBorder="1" applyAlignment="1">
      <alignment horizontal="center" vertical="center"/>
    </xf>
    <xf numFmtId="43" fontId="42" fillId="35" borderId="2" xfId="28" applyFont="1" applyFill="1" applyBorder="1" applyAlignment="1">
      <alignment horizontal="center" vertical="center"/>
    </xf>
    <xf numFmtId="43" fontId="42" fillId="35" borderId="2" xfId="24" applyFont="1" applyFill="1" applyBorder="1" applyAlignment="1">
      <alignment horizontal="center" vertical="center"/>
    </xf>
    <xf numFmtId="43" fontId="43" fillId="35" borderId="2" xfId="24" applyFont="1" applyFill="1" applyBorder="1" applyAlignment="1">
      <alignment horizontal="center" vertical="center"/>
    </xf>
    <xf numFmtId="0" fontId="42" fillId="35" borderId="2" xfId="24" applyNumberFormat="1" applyFont="1" applyFill="1" applyBorder="1" applyAlignment="1">
      <alignment horizontal="center" vertical="center"/>
    </xf>
    <xf numFmtId="0" fontId="42" fillId="35" borderId="53" xfId="19" applyFont="1" applyFill="1" applyBorder="1" applyAlignment="1">
      <alignment horizontal="center" vertical="center"/>
    </xf>
    <xf numFmtId="0" fontId="42" fillId="35" borderId="57" xfId="24" applyNumberFormat="1" applyFont="1" applyFill="1" applyBorder="1" applyAlignment="1">
      <alignment horizontal="center" vertical="center"/>
    </xf>
    <xf numFmtId="0" fontId="43" fillId="38" borderId="1" xfId="19" applyFont="1" applyFill="1" applyBorder="1" applyAlignment="1">
      <alignment horizontal="center" vertical="center"/>
    </xf>
    <xf numFmtId="0" fontId="43" fillId="38" borderId="28" xfId="8" applyFont="1" applyFill="1" applyBorder="1" applyAlignment="1">
      <alignment horizontal="left" vertical="center"/>
    </xf>
    <xf numFmtId="0" fontId="42" fillId="38" borderId="33" xfId="19" applyFont="1" applyFill="1" applyBorder="1" applyAlignment="1">
      <alignment horizontal="left" vertical="center" wrapText="1"/>
    </xf>
    <xf numFmtId="165" fontId="42" fillId="38" borderId="1" xfId="24" applyNumberFormat="1" applyFont="1" applyFill="1" applyBorder="1" applyAlignment="1">
      <alignment horizontal="center" vertical="center"/>
    </xf>
    <xf numFmtId="0" fontId="42" fillId="38" borderId="1" xfId="19" applyFont="1" applyFill="1" applyBorder="1" applyAlignment="1">
      <alignment horizontal="center" vertical="center"/>
    </xf>
    <xf numFmtId="43" fontId="42" fillId="38" borderId="1" xfId="28" applyFont="1" applyFill="1" applyBorder="1" applyAlignment="1">
      <alignment horizontal="center" vertical="center"/>
    </xf>
    <xf numFmtId="43" fontId="42" fillId="38" borderId="1" xfId="24" applyFont="1" applyFill="1" applyBorder="1" applyAlignment="1">
      <alignment horizontal="center" vertical="center"/>
    </xf>
    <xf numFmtId="0" fontId="42" fillId="38" borderId="1" xfId="24" applyNumberFormat="1" applyFont="1" applyFill="1" applyBorder="1" applyAlignment="1">
      <alignment horizontal="center" vertical="center"/>
    </xf>
    <xf numFmtId="3" fontId="43" fillId="38" borderId="1" xfId="29" applyNumberFormat="1" applyFont="1" applyFill="1" applyBorder="1" applyAlignment="1">
      <alignment horizontal="center" vertical="center"/>
    </xf>
    <xf numFmtId="3" fontId="43" fillId="38" borderId="1" xfId="29" applyNumberFormat="1" applyFont="1" applyFill="1" applyBorder="1" applyAlignment="1">
      <alignment vertical="center"/>
    </xf>
    <xf numFmtId="43" fontId="43" fillId="38" borderId="1" xfId="2238" applyFont="1" applyFill="1" applyBorder="1" applyAlignment="1">
      <alignment vertical="center"/>
    </xf>
    <xf numFmtId="43" fontId="43" fillId="38" borderId="1" xfId="124" applyFont="1" applyFill="1" applyBorder="1" applyAlignment="1">
      <alignment vertical="center"/>
    </xf>
    <xf numFmtId="3" fontId="43" fillId="38" borderId="0" xfId="29" applyNumberFormat="1" applyFont="1" applyFill="1" applyAlignment="1">
      <alignment vertical="center"/>
    </xf>
    <xf numFmtId="3" fontId="43" fillId="38" borderId="28" xfId="29" applyNumberFormat="1" applyFont="1" applyFill="1" applyBorder="1" applyAlignment="1">
      <alignment vertical="center"/>
    </xf>
    <xf numFmtId="0" fontId="43" fillId="35" borderId="1" xfId="19" applyFont="1" applyFill="1" applyBorder="1" applyAlignment="1">
      <alignment horizontal="center" vertical="center"/>
    </xf>
    <xf numFmtId="3" fontId="43" fillId="35" borderId="1" xfId="338" applyNumberFormat="1" applyFont="1" applyFill="1" applyBorder="1" applyAlignment="1">
      <alignment horizontal="center" vertical="center"/>
    </xf>
    <xf numFmtId="43" fontId="43" fillId="35" borderId="1" xfId="338" applyFont="1" applyFill="1" applyBorder="1" applyAlignment="1">
      <alignment horizontal="center" vertical="center"/>
    </xf>
    <xf numFmtId="0" fontId="42" fillId="35" borderId="0" xfId="2237" applyFont="1" applyFill="1"/>
    <xf numFmtId="37" fontId="43" fillId="34" borderId="1" xfId="8" applyNumberFormat="1" applyFont="1" applyFill="1" applyBorder="1" applyAlignment="1">
      <alignment horizontal="center" vertical="center"/>
    </xf>
    <xf numFmtId="43" fontId="43" fillId="34" borderId="1" xfId="2238" applyFont="1" applyFill="1" applyBorder="1" applyAlignment="1">
      <alignment horizontal="center" vertical="center"/>
    </xf>
    <xf numFmtId="3" fontId="43" fillId="34" borderId="1" xfId="8" applyNumberFormat="1" applyFont="1" applyFill="1" applyBorder="1" applyAlignment="1">
      <alignment horizontal="center" vertical="center"/>
    </xf>
    <xf numFmtId="43" fontId="43" fillId="34" borderId="1" xfId="501" applyFont="1" applyFill="1" applyBorder="1" applyAlignment="1">
      <alignment vertical="center"/>
    </xf>
    <xf numFmtId="43" fontId="42" fillId="34" borderId="1" xfId="501" applyFont="1" applyFill="1" applyBorder="1" applyAlignment="1">
      <alignment vertical="center"/>
    </xf>
    <xf numFmtId="166" fontId="42" fillId="34" borderId="1" xfId="30" applyNumberFormat="1" applyFont="1" applyFill="1" applyBorder="1" applyAlignment="1">
      <alignment vertical="center"/>
    </xf>
    <xf numFmtId="3" fontId="47" fillId="34" borderId="0" xfId="29" applyNumberFormat="1" applyFont="1" applyFill="1" applyAlignment="1">
      <alignment vertical="center"/>
    </xf>
    <xf numFmtId="43" fontId="43" fillId="0" borderId="52" xfId="2244" applyFont="1" applyBorder="1" applyAlignment="1">
      <alignment horizontal="center" vertical="center"/>
    </xf>
    <xf numFmtId="0" fontId="42" fillId="0" borderId="52" xfId="26" applyFont="1" applyBorder="1" applyAlignment="1">
      <alignment horizontal="center" vertical="center"/>
    </xf>
    <xf numFmtId="0" fontId="42" fillId="0" borderId="48" xfId="26" applyFont="1" applyBorder="1" applyAlignment="1">
      <alignment horizontal="left" vertical="center"/>
    </xf>
    <xf numFmtId="4" fontId="42" fillId="0" borderId="52" xfId="26" applyNumberFormat="1" applyFont="1" applyBorder="1" applyAlignment="1">
      <alignment horizontal="center" vertical="center"/>
    </xf>
    <xf numFmtId="43" fontId="42" fillId="0" borderId="52" xfId="2244" applyFont="1" applyBorder="1" applyAlignment="1">
      <alignment horizontal="center"/>
    </xf>
    <xf numFmtId="43" fontId="42" fillId="0" borderId="1" xfId="2244" applyFont="1" applyBorder="1" applyAlignment="1">
      <alignment horizontal="center"/>
    </xf>
    <xf numFmtId="43" fontId="42" fillId="0" borderId="1" xfId="2244" applyFont="1" applyBorder="1" applyAlignment="1">
      <alignment horizontal="left"/>
    </xf>
    <xf numFmtId="43" fontId="42" fillId="0" borderId="1" xfId="2244" applyFont="1" applyBorder="1" applyAlignment="1">
      <alignment horizontal="center" vertical="center"/>
    </xf>
    <xf numFmtId="43" fontId="42" fillId="0" borderId="52" xfId="2244" applyFont="1" applyBorder="1" applyAlignment="1">
      <alignment horizontal="center" vertical="center"/>
    </xf>
    <xf numFmtId="0" fontId="42" fillId="0" borderId="47" xfId="26" applyFont="1" applyBorder="1" applyAlignment="1">
      <alignment horizontal="left" vertical="center"/>
    </xf>
    <xf numFmtId="0" fontId="42" fillId="0" borderId="28" xfId="26" applyFont="1" applyBorder="1" applyAlignment="1">
      <alignment horizontal="left" vertical="center"/>
    </xf>
    <xf numFmtId="2" fontId="42" fillId="0" borderId="52" xfId="26" applyNumberFormat="1" applyFont="1" applyBorder="1" applyAlignment="1">
      <alignment horizontal="center" vertical="center"/>
    </xf>
    <xf numFmtId="4" fontId="42" fillId="0" borderId="1" xfId="2244" applyNumberFormat="1" applyFont="1" applyBorder="1" applyAlignment="1">
      <alignment horizontal="center"/>
    </xf>
    <xf numFmtId="43" fontId="42" fillId="0" borderId="1" xfId="2244" applyFont="1" applyFill="1" applyBorder="1" applyAlignment="1">
      <alignment horizontal="left"/>
    </xf>
    <xf numFmtId="43" fontId="42" fillId="0" borderId="1" xfId="2244" applyFont="1" applyBorder="1" applyAlignment="1">
      <alignment horizontal="left" vertical="center"/>
    </xf>
    <xf numFmtId="0" fontId="42" fillId="0" borderId="51" xfId="26" applyFont="1" applyBorder="1" applyAlignment="1">
      <alignment horizontal="left" vertical="center"/>
    </xf>
    <xf numFmtId="4" fontId="42" fillId="0" borderId="49" xfId="2244" applyNumberFormat="1" applyFont="1" applyBorder="1" applyAlignment="1">
      <alignment horizontal="center"/>
    </xf>
    <xf numFmtId="43" fontId="42" fillId="0" borderId="49" xfId="2244" applyFont="1" applyBorder="1" applyAlignment="1">
      <alignment horizontal="left" vertical="center"/>
    </xf>
    <xf numFmtId="0" fontId="42" fillId="0" borderId="50" xfId="26" applyFont="1" applyBorder="1" applyAlignment="1">
      <alignment horizontal="left" vertical="center"/>
    </xf>
    <xf numFmtId="0" fontId="42" fillId="0" borderId="49" xfId="26" applyFont="1" applyBorder="1" applyAlignment="1">
      <alignment horizontal="center" vertical="center"/>
    </xf>
    <xf numFmtId="0" fontId="42" fillId="33" borderId="1" xfId="26" applyFont="1" applyFill="1" applyBorder="1" applyAlignment="1">
      <alignment horizontal="center" vertical="center"/>
    </xf>
    <xf numFmtId="3" fontId="42" fillId="33" borderId="1" xfId="2244" applyNumberFormat="1" applyFont="1" applyFill="1" applyBorder="1" applyAlignment="1">
      <alignment horizontal="center"/>
    </xf>
    <xf numFmtId="43" fontId="42" fillId="33" borderId="1" xfId="2244" applyFont="1" applyFill="1" applyBorder="1" applyAlignment="1">
      <alignment horizontal="left"/>
    </xf>
    <xf numFmtId="43" fontId="43" fillId="33" borderId="1" xfId="2244" applyFont="1" applyFill="1" applyBorder="1" applyAlignment="1">
      <alignment horizontal="left"/>
    </xf>
    <xf numFmtId="43" fontId="43" fillId="33" borderId="1" xfId="2244" applyFont="1" applyFill="1" applyBorder="1" applyAlignment="1">
      <alignment horizontal="left" vertical="center"/>
    </xf>
    <xf numFmtId="43" fontId="42" fillId="33" borderId="1" xfId="2244" applyFont="1" applyFill="1" applyBorder="1" applyAlignment="1">
      <alignment horizontal="left" vertical="center"/>
    </xf>
    <xf numFmtId="0" fontId="43" fillId="36" borderId="52" xfId="26" applyFont="1" applyFill="1" applyBorder="1" applyAlignment="1">
      <alignment horizontal="center" vertical="center"/>
    </xf>
    <xf numFmtId="0" fontId="43" fillId="36" borderId="52" xfId="26" applyFont="1" applyFill="1" applyBorder="1" applyAlignment="1">
      <alignment horizontal="centerContinuous" vertical="center"/>
    </xf>
    <xf numFmtId="43" fontId="43" fillId="36" borderId="52" xfId="2244" applyFont="1" applyFill="1" applyBorder="1" applyAlignment="1">
      <alignment horizontal="left"/>
    </xf>
    <xf numFmtId="43" fontId="43" fillId="36" borderId="52" xfId="2244" applyFont="1" applyFill="1" applyBorder="1" applyAlignment="1">
      <alignment horizontal="left" vertical="center"/>
    </xf>
    <xf numFmtId="0" fontId="43" fillId="38" borderId="52" xfId="26" applyFont="1" applyFill="1" applyBorder="1" applyAlignment="1">
      <alignment horizontal="center" vertical="center"/>
    </xf>
    <xf numFmtId="0" fontId="43" fillId="38" borderId="47" xfId="26" applyFont="1" applyFill="1" applyBorder="1" applyAlignment="1">
      <alignment horizontal="left" vertical="center"/>
    </xf>
    <xf numFmtId="3" fontId="43" fillId="38" borderId="52" xfId="26" applyNumberFormat="1" applyFont="1" applyFill="1" applyBorder="1" applyAlignment="1">
      <alignment horizontal="center" vertical="center"/>
    </xf>
    <xf numFmtId="43" fontId="43" fillId="38" borderId="52" xfId="2244" applyFont="1" applyFill="1" applyBorder="1" applyAlignment="1">
      <alignment horizontal="center"/>
    </xf>
    <xf numFmtId="43" fontId="43" fillId="38" borderId="52" xfId="2244" applyFont="1" applyFill="1" applyBorder="1" applyAlignment="1">
      <alignment horizontal="center" vertical="center"/>
    </xf>
    <xf numFmtId="0" fontId="42" fillId="38" borderId="52" xfId="26" applyFont="1" applyFill="1" applyBorder="1" applyAlignment="1">
      <alignment horizontal="center" vertical="center"/>
    </xf>
    <xf numFmtId="0" fontId="42" fillId="38" borderId="48" xfId="26" applyFont="1" applyFill="1" applyBorder="1" applyAlignment="1">
      <alignment horizontal="left" vertical="center"/>
    </xf>
    <xf numFmtId="4" fontId="42" fillId="38" borderId="52" xfId="26" applyNumberFormat="1" applyFont="1" applyFill="1" applyBorder="1" applyAlignment="1">
      <alignment horizontal="center" vertical="center"/>
    </xf>
    <xf numFmtId="43" fontId="42" fillId="38" borderId="52" xfId="2244" applyFont="1" applyFill="1" applyBorder="1" applyAlignment="1">
      <alignment horizontal="center"/>
    </xf>
    <xf numFmtId="43" fontId="42" fillId="38" borderId="1" xfId="2244" applyFont="1" applyFill="1" applyBorder="1" applyAlignment="1">
      <alignment horizontal="center"/>
    </xf>
    <xf numFmtId="43" fontId="42" fillId="38" borderId="1" xfId="2244" applyFont="1" applyFill="1" applyBorder="1" applyAlignment="1">
      <alignment horizontal="left"/>
    </xf>
    <xf numFmtId="43" fontId="42" fillId="38" borderId="1" xfId="2244" applyFont="1" applyFill="1" applyBorder="1" applyAlignment="1">
      <alignment horizontal="center" vertical="center"/>
    </xf>
    <xf numFmtId="43" fontId="42" fillId="38" borderId="52" xfId="2244" applyFont="1" applyFill="1" applyBorder="1" applyAlignment="1">
      <alignment horizontal="center" vertical="center"/>
    </xf>
    <xf numFmtId="0" fontId="43" fillId="38" borderId="28" xfId="26" applyFont="1" applyFill="1" applyBorder="1" applyAlignment="1">
      <alignment horizontal="left" vertical="center"/>
    </xf>
    <xf numFmtId="2" fontId="42" fillId="38" borderId="52" xfId="26" applyNumberFormat="1" applyFont="1" applyFill="1" applyBorder="1" applyAlignment="1">
      <alignment horizontal="center" vertical="center"/>
    </xf>
    <xf numFmtId="0" fontId="42" fillId="38" borderId="51" xfId="26" applyFont="1" applyFill="1" applyBorder="1" applyAlignment="1">
      <alignment horizontal="left" vertical="center"/>
    </xf>
    <xf numFmtId="4" fontId="42" fillId="38" borderId="49" xfId="2244" applyNumberFormat="1" applyFont="1" applyFill="1" applyBorder="1" applyAlignment="1">
      <alignment horizontal="center"/>
    </xf>
    <xf numFmtId="43" fontId="42" fillId="38" borderId="1" xfId="2244" applyFont="1" applyFill="1" applyBorder="1" applyAlignment="1">
      <alignment horizontal="left" vertical="center"/>
    </xf>
    <xf numFmtId="43" fontId="42" fillId="38" borderId="49" xfId="2244" applyFont="1" applyFill="1" applyBorder="1" applyAlignment="1">
      <alignment horizontal="left" vertical="center"/>
    </xf>
    <xf numFmtId="0" fontId="43" fillId="38" borderId="50" xfId="26" applyFont="1" applyFill="1" applyBorder="1" applyAlignment="1">
      <alignment horizontal="left" vertical="center"/>
    </xf>
    <xf numFmtId="0" fontId="42" fillId="38" borderId="49" xfId="26" applyFont="1" applyFill="1" applyBorder="1" applyAlignment="1">
      <alignment horizontal="center" vertical="center"/>
    </xf>
    <xf numFmtId="0" fontId="43" fillId="4" borderId="9" xfId="19" applyFont="1" applyFill="1" applyBorder="1" applyAlignment="1">
      <alignment horizontal="left" vertical="center" wrapText="1"/>
    </xf>
    <xf numFmtId="0" fontId="42" fillId="0" borderId="33" xfId="25" applyFont="1" applyBorder="1"/>
    <xf numFmtId="0" fontId="42" fillId="0" borderId="29" xfId="20" applyFont="1" applyBorder="1" applyAlignment="1">
      <alignment horizontal="left" vertical="center" wrapText="1"/>
    </xf>
    <xf numFmtId="0" fontId="43" fillId="0" borderId="0" xfId="22" applyFont="1" applyAlignment="1">
      <alignment horizontal="left" vertical="center" wrapText="1"/>
    </xf>
    <xf numFmtId="3" fontId="42" fillId="0" borderId="1" xfId="29" applyNumberFormat="1" applyFont="1" applyBorder="1" applyAlignment="1">
      <alignment horizontal="left" vertical="center" wrapText="1"/>
    </xf>
    <xf numFmtId="3" fontId="42" fillId="37" borderId="1" xfId="29" applyNumberFormat="1" applyFont="1" applyFill="1" applyBorder="1" applyAlignment="1">
      <alignment horizontal="left" vertical="center" wrapText="1"/>
    </xf>
    <xf numFmtId="3" fontId="43" fillId="38" borderId="1" xfId="29" applyNumberFormat="1" applyFont="1" applyFill="1" applyBorder="1" applyAlignment="1">
      <alignment horizontal="left" vertical="center" wrapText="1"/>
    </xf>
    <xf numFmtId="3" fontId="42" fillId="0" borderId="33" xfId="29" applyNumberFormat="1" applyFont="1" applyBorder="1" applyAlignment="1">
      <alignment horizontal="left" vertical="center" wrapText="1"/>
    </xf>
    <xf numFmtId="3" fontId="42" fillId="34" borderId="1" xfId="29" applyNumberFormat="1" applyFont="1" applyFill="1" applyBorder="1" applyAlignment="1">
      <alignment horizontal="left" vertical="center" wrapText="1"/>
    </xf>
    <xf numFmtId="3" fontId="43" fillId="38" borderId="33" xfId="29" applyNumberFormat="1" applyFont="1" applyFill="1" applyBorder="1" applyAlignment="1">
      <alignment horizontal="left" vertical="center" wrapText="1"/>
    </xf>
    <xf numFmtId="3" fontId="42" fillId="0" borderId="0" xfId="29" applyNumberFormat="1" applyFont="1" applyAlignment="1">
      <alignment horizontal="left" vertical="center" wrapText="1"/>
    </xf>
    <xf numFmtId="0" fontId="42" fillId="0" borderId="28" xfId="8" applyFont="1" applyBorder="1" applyAlignment="1">
      <alignment horizontal="center" vertical="center" wrapText="1"/>
    </xf>
    <xf numFmtId="0" fontId="43" fillId="4" borderId="28" xfId="19" applyFont="1" applyFill="1" applyBorder="1" applyAlignment="1">
      <alignment horizontal="left" vertical="center" wrapText="1"/>
    </xf>
    <xf numFmtId="0" fontId="42" fillId="4" borderId="1" xfId="24" applyNumberFormat="1" applyFont="1" applyFill="1" applyBorder="1" applyAlignment="1">
      <alignment horizontal="center" vertical="center"/>
    </xf>
    <xf numFmtId="0" fontId="42" fillId="4" borderId="66" xfId="2240" applyFont="1" applyFill="1" applyBorder="1"/>
    <xf numFmtId="0" fontId="42" fillId="4" borderId="28" xfId="2240" applyFont="1" applyFill="1" applyBorder="1" applyAlignment="1">
      <alignment horizontal="left" indent="2"/>
    </xf>
    <xf numFmtId="181" fontId="42" fillId="4" borderId="9" xfId="2246" applyNumberFormat="1" applyFont="1" applyFill="1" applyBorder="1"/>
    <xf numFmtId="181" fontId="42" fillId="4" borderId="1" xfId="2246" applyNumberFormat="1" applyFont="1" applyFill="1" applyBorder="1"/>
    <xf numFmtId="165" fontId="42" fillId="4" borderId="1" xfId="2246" applyFont="1" applyFill="1" applyBorder="1"/>
    <xf numFmtId="181" fontId="42" fillId="4" borderId="67" xfId="2246" applyNumberFormat="1" applyFont="1" applyFill="1" applyBorder="1"/>
    <xf numFmtId="181" fontId="42" fillId="4" borderId="9" xfId="2242" applyNumberFormat="1" applyFont="1" applyFill="1" applyBorder="1" applyAlignment="1">
      <alignment wrapText="1"/>
    </xf>
    <xf numFmtId="43" fontId="42" fillId="4" borderId="1" xfId="2238" applyFont="1" applyFill="1" applyBorder="1" applyAlignment="1">
      <alignment horizontal="right" vertical="center" wrapText="1"/>
    </xf>
    <xf numFmtId="3" fontId="42" fillId="4" borderId="1" xfId="2237" applyNumberFormat="1" applyFont="1" applyFill="1" applyBorder="1" applyAlignment="1">
      <alignment horizontal="center" vertical="center" wrapText="1"/>
    </xf>
    <xf numFmtId="43" fontId="42" fillId="4" borderId="1" xfId="2238" applyFont="1" applyFill="1" applyBorder="1" applyAlignment="1">
      <alignment vertical="center" wrapText="1"/>
    </xf>
    <xf numFmtId="181" fontId="42" fillId="4" borderId="9" xfId="2242" applyNumberFormat="1" applyFont="1" applyFill="1" applyBorder="1"/>
    <xf numFmtId="166" fontId="42" fillId="4" borderId="1" xfId="30" applyNumberFormat="1" applyFont="1" applyFill="1" applyBorder="1" applyAlignment="1">
      <alignment vertical="center"/>
    </xf>
    <xf numFmtId="0" fontId="64" fillId="4" borderId="28" xfId="8" applyFont="1" applyFill="1" applyBorder="1" applyAlignment="1">
      <alignment horizontal="center" vertical="center"/>
    </xf>
    <xf numFmtId="0" fontId="64" fillId="4" borderId="33" xfId="19" applyFont="1" applyFill="1" applyBorder="1" applyAlignment="1">
      <alignment horizontal="left" vertical="center" wrapText="1"/>
    </xf>
    <xf numFmtId="165" fontId="64" fillId="4" borderId="1" xfId="24" applyNumberFormat="1" applyFont="1" applyFill="1" applyBorder="1" applyAlignment="1">
      <alignment horizontal="center" vertical="center"/>
    </xf>
    <xf numFmtId="0" fontId="64" fillId="4" borderId="1" xfId="19" applyFont="1" applyFill="1" applyBorder="1" applyAlignment="1">
      <alignment horizontal="center" vertical="center"/>
    </xf>
    <xf numFmtId="43" fontId="64" fillId="4" borderId="1" xfId="28" applyFont="1" applyFill="1" applyBorder="1" applyAlignment="1">
      <alignment horizontal="center" vertical="center"/>
    </xf>
    <xf numFmtId="43" fontId="64" fillId="4" borderId="1" xfId="24" applyFont="1" applyFill="1" applyBorder="1" applyAlignment="1">
      <alignment horizontal="center" vertical="center"/>
    </xf>
    <xf numFmtId="0" fontId="64" fillId="4" borderId="1" xfId="24" applyNumberFormat="1" applyFont="1" applyFill="1" applyBorder="1" applyAlignment="1">
      <alignment horizontal="center" vertical="center"/>
    </xf>
    <xf numFmtId="0" fontId="42" fillId="35" borderId="52" xfId="26" applyFont="1" applyFill="1" applyBorder="1" applyAlignment="1">
      <alignment horizontal="center" vertical="center"/>
    </xf>
    <xf numFmtId="0" fontId="42" fillId="35" borderId="47" xfId="26" applyFont="1" applyFill="1" applyBorder="1" applyAlignment="1">
      <alignment horizontal="left" vertical="center"/>
    </xf>
    <xf numFmtId="0" fontId="42" fillId="35" borderId="48" xfId="26" applyFont="1" applyFill="1" applyBorder="1" applyAlignment="1">
      <alignment horizontal="left" vertical="center"/>
    </xf>
    <xf numFmtId="4" fontId="42" fillId="35" borderId="52" xfId="26" applyNumberFormat="1" applyFont="1" applyFill="1" applyBorder="1" applyAlignment="1">
      <alignment horizontal="center" vertical="center"/>
    </xf>
    <xf numFmtId="43" fontId="42" fillId="35" borderId="52" xfId="2244" applyFont="1" applyFill="1" applyBorder="1" applyAlignment="1">
      <alignment horizontal="center"/>
    </xf>
    <xf numFmtId="43" fontId="43" fillId="35" borderId="1" xfId="2244" applyFont="1" applyFill="1" applyBorder="1" applyAlignment="1">
      <alignment horizontal="center"/>
    </xf>
    <xf numFmtId="43" fontId="43" fillId="35" borderId="1" xfId="2244" applyFont="1" applyFill="1" applyBorder="1" applyAlignment="1">
      <alignment horizontal="left"/>
    </xf>
    <xf numFmtId="43" fontId="43" fillId="35" borderId="1" xfId="2244" applyFont="1" applyFill="1" applyBorder="1" applyAlignment="1">
      <alignment horizontal="center" vertical="center"/>
    </xf>
    <xf numFmtId="43" fontId="42" fillId="35" borderId="52" xfId="2244" applyFont="1" applyFill="1" applyBorder="1" applyAlignment="1">
      <alignment horizontal="center" vertical="center"/>
    </xf>
    <xf numFmtId="2" fontId="42" fillId="35" borderId="52" xfId="26" applyNumberFormat="1" applyFont="1" applyFill="1" applyBorder="1" applyAlignment="1">
      <alignment horizontal="center" vertical="center"/>
    </xf>
    <xf numFmtId="0" fontId="42" fillId="35" borderId="28" xfId="26" applyFont="1" applyFill="1" applyBorder="1" applyAlignment="1">
      <alignment horizontal="left" vertical="center"/>
    </xf>
    <xf numFmtId="0" fontId="42" fillId="35" borderId="51" xfId="26" applyFont="1" applyFill="1" applyBorder="1" applyAlignment="1">
      <alignment horizontal="left" vertical="center"/>
    </xf>
    <xf numFmtId="4" fontId="42" fillId="35" borderId="49" xfId="2244" applyNumberFormat="1" applyFont="1" applyFill="1" applyBorder="1" applyAlignment="1">
      <alignment horizontal="center"/>
    </xf>
    <xf numFmtId="43" fontId="42" fillId="35" borderId="1" xfId="2244" applyFont="1" applyFill="1" applyBorder="1" applyAlignment="1">
      <alignment horizontal="left"/>
    </xf>
    <xf numFmtId="43" fontId="43" fillId="35" borderId="1" xfId="2244" applyFont="1" applyFill="1" applyBorder="1" applyAlignment="1">
      <alignment horizontal="left" vertical="center"/>
    </xf>
    <xf numFmtId="43" fontId="42" fillId="35" borderId="49" xfId="2244" applyFont="1" applyFill="1" applyBorder="1" applyAlignment="1">
      <alignment horizontal="left" vertical="center"/>
    </xf>
    <xf numFmtId="0" fontId="42" fillId="35" borderId="50" xfId="26" applyFont="1" applyFill="1" applyBorder="1" applyAlignment="1">
      <alignment horizontal="left" vertical="center"/>
    </xf>
    <xf numFmtId="0" fontId="42" fillId="35" borderId="49" xfId="26" applyFont="1" applyFill="1" applyBorder="1" applyAlignment="1">
      <alignment horizontal="center" vertical="center"/>
    </xf>
    <xf numFmtId="0" fontId="63" fillId="38" borderId="52" xfId="26" applyFont="1" applyFill="1" applyBorder="1" applyAlignment="1">
      <alignment horizontal="center" vertical="center"/>
    </xf>
    <xf numFmtId="0" fontId="65" fillId="38" borderId="47" xfId="26" applyFont="1" applyFill="1" applyBorder="1" applyAlignment="1">
      <alignment horizontal="left" vertical="center"/>
    </xf>
    <xf numFmtId="0" fontId="63" fillId="38" borderId="48" xfId="26" applyFont="1" applyFill="1" applyBorder="1" applyAlignment="1">
      <alignment horizontal="left" vertical="center"/>
    </xf>
    <xf numFmtId="4" fontId="63" fillId="38" borderId="52" xfId="26" applyNumberFormat="1" applyFont="1" applyFill="1" applyBorder="1" applyAlignment="1">
      <alignment horizontal="center" vertical="center"/>
    </xf>
    <xf numFmtId="43" fontId="63" fillId="38" borderId="52" xfId="2244" applyFont="1" applyFill="1" applyBorder="1" applyAlignment="1">
      <alignment horizontal="center"/>
    </xf>
    <xf numFmtId="43" fontId="63" fillId="38" borderId="1" xfId="2244" applyFont="1" applyFill="1" applyBorder="1" applyAlignment="1">
      <alignment horizontal="center"/>
    </xf>
    <xf numFmtId="43" fontId="63" fillId="38" borderId="1" xfId="2244" applyFont="1" applyFill="1" applyBorder="1" applyAlignment="1">
      <alignment horizontal="left"/>
    </xf>
    <xf numFmtId="43" fontId="63" fillId="38" borderId="1" xfId="2244" applyFont="1" applyFill="1" applyBorder="1" applyAlignment="1">
      <alignment horizontal="center" vertical="center"/>
    </xf>
    <xf numFmtId="43" fontId="63" fillId="38" borderId="52" xfId="2244" applyFont="1" applyFill="1" applyBorder="1" applyAlignment="1">
      <alignment horizontal="center" vertical="center"/>
    </xf>
    <xf numFmtId="0" fontId="63" fillId="34" borderId="52" xfId="26" applyFont="1" applyFill="1" applyBorder="1" applyAlignment="1">
      <alignment horizontal="center" vertical="center"/>
    </xf>
    <xf numFmtId="0" fontId="63" fillId="34" borderId="28" xfId="26" applyFont="1" applyFill="1" applyBorder="1" applyAlignment="1">
      <alignment horizontal="left" vertical="center"/>
    </xf>
    <xf numFmtId="0" fontId="63" fillId="34" borderId="48" xfId="26" applyFont="1" applyFill="1" applyBorder="1" applyAlignment="1">
      <alignment horizontal="left" vertical="center"/>
    </xf>
    <xf numFmtId="4" fontId="63" fillId="34" borderId="52" xfId="26" applyNumberFormat="1" applyFont="1" applyFill="1" applyBorder="1" applyAlignment="1">
      <alignment horizontal="center" vertical="center"/>
    </xf>
    <xf numFmtId="43" fontId="63" fillId="34" borderId="52" xfId="2244" applyFont="1" applyFill="1" applyBorder="1" applyAlignment="1">
      <alignment horizontal="center"/>
    </xf>
    <xf numFmtId="43" fontId="63" fillId="34" borderId="1" xfId="2244" applyFont="1" applyFill="1" applyBorder="1" applyAlignment="1">
      <alignment horizontal="center"/>
    </xf>
    <xf numFmtId="43" fontId="63" fillId="34" borderId="1" xfId="2244" applyFont="1" applyFill="1" applyBorder="1" applyAlignment="1">
      <alignment horizontal="left"/>
    </xf>
    <xf numFmtId="43" fontId="63" fillId="34" borderId="1" xfId="2244" applyFont="1" applyFill="1" applyBorder="1" applyAlignment="1">
      <alignment horizontal="center" vertical="center"/>
    </xf>
    <xf numFmtId="43" fontId="63" fillId="34" borderId="52" xfId="2244" applyFont="1" applyFill="1" applyBorder="1" applyAlignment="1">
      <alignment horizontal="center" vertical="center"/>
    </xf>
    <xf numFmtId="2" fontId="63" fillId="34" borderId="52" xfId="26" applyNumberFormat="1" applyFont="1" applyFill="1" applyBorder="1" applyAlignment="1">
      <alignment horizontal="center" vertical="center"/>
    </xf>
    <xf numFmtId="0" fontId="63" fillId="34" borderId="51" xfId="26" applyFont="1" applyFill="1" applyBorder="1" applyAlignment="1">
      <alignment horizontal="left" vertical="center"/>
    </xf>
    <xf numFmtId="4" fontId="63" fillId="34" borderId="49" xfId="2244" applyNumberFormat="1" applyFont="1" applyFill="1" applyBorder="1" applyAlignment="1">
      <alignment horizontal="center"/>
    </xf>
    <xf numFmtId="43" fontId="63" fillId="34" borderId="1" xfId="2244" applyFont="1" applyFill="1" applyBorder="1" applyAlignment="1">
      <alignment horizontal="left" vertical="center"/>
    </xf>
    <xf numFmtId="43" fontId="63" fillId="34" borderId="49" xfId="2244" applyFont="1" applyFill="1" applyBorder="1" applyAlignment="1">
      <alignment horizontal="center" vertical="center"/>
    </xf>
    <xf numFmtId="2" fontId="63" fillId="38" borderId="52" xfId="26" applyNumberFormat="1" applyFont="1" applyFill="1" applyBorder="1" applyAlignment="1">
      <alignment horizontal="center" vertical="center"/>
    </xf>
    <xf numFmtId="0" fontId="65" fillId="38" borderId="28" xfId="26" applyFont="1" applyFill="1" applyBorder="1" applyAlignment="1">
      <alignment horizontal="left" vertical="center"/>
    </xf>
    <xf numFmtId="0" fontId="63" fillId="38" borderId="51" xfId="26" applyFont="1" applyFill="1" applyBorder="1" applyAlignment="1">
      <alignment horizontal="left" vertical="center"/>
    </xf>
    <xf numFmtId="4" fontId="63" fillId="38" borderId="49" xfId="2244" applyNumberFormat="1" applyFont="1" applyFill="1" applyBorder="1" applyAlignment="1">
      <alignment horizontal="center"/>
    </xf>
    <xf numFmtId="43" fontId="63" fillId="38" borderId="1" xfId="2244" applyFont="1" applyFill="1" applyBorder="1" applyAlignment="1">
      <alignment horizontal="left" vertical="center"/>
    </xf>
    <xf numFmtId="43" fontId="63" fillId="38" borderId="49" xfId="2244" applyFont="1" applyFill="1" applyBorder="1" applyAlignment="1">
      <alignment horizontal="left" vertical="center"/>
    </xf>
    <xf numFmtId="0" fontId="43" fillId="0" borderId="52" xfId="2233" applyFont="1" applyBorder="1" applyAlignment="1">
      <alignment horizontal="center" vertical="center"/>
    </xf>
    <xf numFmtId="0" fontId="46" fillId="0" borderId="47" xfId="2233" applyFont="1" applyBorder="1" applyAlignment="1">
      <alignment horizontal="left" vertical="center"/>
    </xf>
    <xf numFmtId="0" fontId="43" fillId="0" borderId="48" xfId="2233" applyFont="1" applyBorder="1" applyAlignment="1">
      <alignment horizontal="left" vertical="center"/>
    </xf>
    <xf numFmtId="3" fontId="43" fillId="0" borderId="52" xfId="112" applyNumberFormat="1" applyFont="1" applyFill="1" applyBorder="1" applyAlignment="1">
      <alignment horizontal="center" vertical="center"/>
    </xf>
    <xf numFmtId="0" fontId="42" fillId="0" borderId="52" xfId="2233" applyFont="1" applyBorder="1" applyAlignment="1">
      <alignment horizontal="center" vertical="center"/>
    </xf>
    <xf numFmtId="43" fontId="42" fillId="0" borderId="52" xfId="112" applyFont="1" applyFill="1" applyBorder="1" applyAlignment="1">
      <alignment horizontal="center" vertical="center"/>
    </xf>
    <xf numFmtId="0" fontId="42" fillId="0" borderId="52" xfId="112" applyNumberFormat="1" applyFont="1" applyFill="1" applyBorder="1" applyAlignment="1">
      <alignment horizontal="center" vertical="center"/>
    </xf>
    <xf numFmtId="0" fontId="43" fillId="2" borderId="31" xfId="22" applyFont="1" applyFill="1" applyBorder="1" applyAlignment="1">
      <alignment horizontal="left" vertical="center" wrapText="1"/>
    </xf>
    <xf numFmtId="43" fontId="43" fillId="2" borderId="13" xfId="2238" applyFont="1" applyFill="1" applyBorder="1" applyAlignment="1">
      <alignment horizontal="centerContinuous" vertical="center"/>
    </xf>
    <xf numFmtId="43" fontId="43" fillId="2" borderId="2" xfId="124" applyFont="1" applyFill="1" applyBorder="1" applyAlignment="1">
      <alignment horizontal="center"/>
    </xf>
    <xf numFmtId="43" fontId="43" fillId="2" borderId="13" xfId="124" applyFont="1" applyFill="1" applyBorder="1" applyAlignment="1">
      <alignment horizontal="centerContinuous" vertical="center"/>
    </xf>
    <xf numFmtId="3" fontId="42" fillId="0" borderId="52" xfId="29" applyNumberFormat="1" applyFont="1" applyBorder="1" applyAlignment="1">
      <alignment horizontal="center" vertical="center"/>
    </xf>
    <xf numFmtId="3" fontId="43" fillId="0" borderId="52" xfId="29" applyNumberFormat="1" applyFont="1" applyBorder="1" applyAlignment="1">
      <alignment vertical="center"/>
    </xf>
    <xf numFmtId="3" fontId="42" fillId="0" borderId="52" xfId="29" applyNumberFormat="1" applyFont="1" applyBorder="1" applyAlignment="1">
      <alignment horizontal="left" vertical="center" wrapText="1"/>
    </xf>
    <xf numFmtId="43" fontId="42" fillId="0" borderId="52" xfId="2238" applyFont="1" applyBorder="1" applyAlignment="1">
      <alignment vertical="center"/>
    </xf>
    <xf numFmtId="3" fontId="42" fillId="0" borderId="52" xfId="29" applyNumberFormat="1" applyFont="1" applyBorder="1" applyAlignment="1">
      <alignment vertical="center"/>
    </xf>
    <xf numFmtId="43" fontId="42" fillId="0" borderId="52" xfId="124" applyFont="1" applyBorder="1" applyAlignment="1">
      <alignment vertical="center"/>
    </xf>
    <xf numFmtId="2" fontId="42" fillId="38" borderId="1" xfId="26" applyNumberFormat="1" applyFont="1" applyFill="1" applyBorder="1" applyAlignment="1">
      <alignment horizontal="center" vertical="center"/>
    </xf>
    <xf numFmtId="0" fontId="42" fillId="38" borderId="33" xfId="26" applyFont="1" applyFill="1" applyBorder="1" applyAlignment="1">
      <alignment horizontal="left" vertical="center"/>
    </xf>
    <xf numFmtId="4" fontId="42" fillId="38" borderId="1" xfId="2244" applyNumberFormat="1" applyFont="1" applyFill="1" applyBorder="1" applyAlignment="1">
      <alignment horizontal="center"/>
    </xf>
    <xf numFmtId="0" fontId="42" fillId="0" borderId="9" xfId="2242" applyNumberFormat="1" applyFont="1" applyBorder="1" applyAlignment="1">
      <alignment horizontal="left" vertical="center" wrapText="1"/>
    </xf>
    <xf numFmtId="0" fontId="43" fillId="0" borderId="0" xfId="2240" applyFont="1" applyAlignment="1">
      <alignment horizontal="right"/>
    </xf>
    <xf numFmtId="165" fontId="43" fillId="0" borderId="0" xfId="2246" applyFont="1"/>
    <xf numFmtId="3" fontId="42" fillId="0" borderId="1" xfId="29" applyNumberFormat="1" applyFont="1" applyBorder="1" applyAlignment="1">
      <alignment horizontal="center" vertical="center" wrapText="1"/>
    </xf>
    <xf numFmtId="3" fontId="42" fillId="0" borderId="28" xfId="29" applyNumberFormat="1" applyFont="1" applyBorder="1" applyAlignment="1">
      <alignment vertical="center" wrapText="1"/>
    </xf>
    <xf numFmtId="43" fontId="42" fillId="0" borderId="1" xfId="2238" applyFont="1" applyBorder="1" applyAlignment="1">
      <alignment vertical="center" wrapText="1"/>
    </xf>
    <xf numFmtId="3" fontId="42" fillId="0" borderId="1" xfId="29" applyNumberFormat="1" applyFont="1" applyBorder="1" applyAlignment="1">
      <alignment vertical="center" wrapText="1"/>
    </xf>
    <xf numFmtId="43" fontId="42" fillId="0" borderId="1" xfId="124" applyFont="1" applyBorder="1" applyAlignment="1">
      <alignment vertical="center" wrapText="1"/>
    </xf>
    <xf numFmtId="3" fontId="42" fillId="0" borderId="0" xfId="29" applyNumberFormat="1" applyFont="1" applyAlignment="1">
      <alignment vertical="center" wrapText="1"/>
    </xf>
    <xf numFmtId="0" fontId="42" fillId="0" borderId="1" xfId="2248" applyFont="1" applyBorder="1" applyAlignment="1">
      <alignment horizontal="center" wrapText="1"/>
    </xf>
    <xf numFmtId="0" fontId="42" fillId="0" borderId="28" xfId="2248" applyFont="1" applyBorder="1" applyAlignment="1">
      <alignment horizontal="center" vertical="center"/>
    </xf>
    <xf numFmtId="165" fontId="42" fillId="0" borderId="1" xfId="2248" applyNumberFormat="1" applyFont="1" applyBorder="1" applyAlignment="1">
      <alignment horizontal="center" vertical="center"/>
    </xf>
    <xf numFmtId="0" fontId="42" fillId="28" borderId="1" xfId="2248" applyFont="1" applyFill="1" applyBorder="1" applyAlignment="1">
      <alignment horizontal="center" vertical="center"/>
    </xf>
    <xf numFmtId="165" fontId="42" fillId="28" borderId="1" xfId="3" applyFont="1" applyFill="1" applyBorder="1" applyAlignment="1">
      <alignment horizontal="center" vertical="center"/>
    </xf>
    <xf numFmtId="165" fontId="42" fillId="28" borderId="1" xfId="3" applyFont="1" applyFill="1" applyBorder="1" applyAlignment="1">
      <alignment vertical="center"/>
    </xf>
    <xf numFmtId="165" fontId="42" fillId="0" borderId="1" xfId="3" applyFont="1" applyBorder="1" applyAlignment="1">
      <alignment vertical="center"/>
    </xf>
    <xf numFmtId="0" fontId="42" fillId="28" borderId="33" xfId="2248" applyFont="1" applyFill="1" applyBorder="1" applyAlignment="1">
      <alignment vertical="center" wrapText="1"/>
    </xf>
    <xf numFmtId="0" fontId="43" fillId="0" borderId="29" xfId="20" applyFont="1" applyBorder="1"/>
    <xf numFmtId="0" fontId="43" fillId="2" borderId="46" xfId="22" applyFont="1" applyFill="1" applyBorder="1" applyAlignment="1">
      <alignment horizontal="centerContinuous" vertical="center"/>
    </xf>
    <xf numFmtId="0" fontId="43" fillId="2" borderId="45" xfId="22" applyFont="1" applyFill="1" applyBorder="1" applyAlignment="1">
      <alignment horizontal="centerContinuous" vertical="center"/>
    </xf>
    <xf numFmtId="2" fontId="63" fillId="34" borderId="1" xfId="26" applyNumberFormat="1" applyFont="1" applyFill="1" applyBorder="1" applyAlignment="1">
      <alignment horizontal="center" vertical="center"/>
    </xf>
    <xf numFmtId="0" fontId="63" fillId="34" borderId="33" xfId="26" applyFont="1" applyFill="1" applyBorder="1" applyAlignment="1">
      <alignment horizontal="left" vertical="center"/>
    </xf>
    <xf numFmtId="4" fontId="63" fillId="34" borderId="1" xfId="2244" applyNumberFormat="1" applyFont="1" applyFill="1" applyBorder="1" applyAlignment="1">
      <alignment horizontal="center"/>
    </xf>
    <xf numFmtId="0" fontId="63" fillId="34" borderId="1" xfId="26" applyFont="1" applyFill="1" applyBorder="1" applyAlignment="1">
      <alignment horizontal="center" vertical="center"/>
    </xf>
    <xf numFmtId="0" fontId="48" fillId="0" borderId="79" xfId="6" applyFont="1" applyBorder="1"/>
    <xf numFmtId="0" fontId="48" fillId="0" borderId="23" xfId="6" applyFont="1" applyBorder="1" applyAlignment="1">
      <alignment horizontal="center" vertical="center"/>
    </xf>
    <xf numFmtId="0" fontId="48" fillId="0" borderId="18" xfId="6" applyFont="1" applyBorder="1" applyAlignment="1">
      <alignment horizontal="center" vertical="center"/>
    </xf>
    <xf numFmtId="0" fontId="48" fillId="0" borderId="11" xfId="6" applyFont="1" applyBorder="1" applyAlignment="1">
      <alignment horizontal="center" vertical="center"/>
    </xf>
    <xf numFmtId="0" fontId="45" fillId="0" borderId="20" xfId="6" applyFont="1" applyBorder="1" applyAlignment="1">
      <alignment horizontal="center"/>
    </xf>
    <xf numFmtId="0" fontId="45" fillId="0" borderId="24" xfId="6" applyFont="1" applyBorder="1" applyAlignment="1">
      <alignment horizontal="center"/>
    </xf>
    <xf numFmtId="0" fontId="48" fillId="0" borderId="3" xfId="6" applyFont="1" applyBorder="1" applyAlignment="1">
      <alignment horizontal="center" vertical="center"/>
    </xf>
    <xf numFmtId="0" fontId="48" fillId="0" borderId="80" xfId="6" applyFont="1" applyBorder="1" applyAlignment="1">
      <alignment horizontal="center"/>
    </xf>
    <xf numFmtId="0" fontId="55" fillId="0" borderId="7" xfId="6" applyFont="1" applyBorder="1" applyAlignment="1">
      <alignment horizontal="center"/>
    </xf>
    <xf numFmtId="0" fontId="55" fillId="0" borderId="11" xfId="6" applyFont="1" applyBorder="1" applyAlignment="1">
      <alignment horizontal="center"/>
    </xf>
    <xf numFmtId="0" fontId="49" fillId="0" borderId="0" xfId="6" applyFont="1" applyAlignment="1">
      <alignment horizontal="center"/>
    </xf>
    <xf numFmtId="0" fontId="49" fillId="0" borderId="19" xfId="6" applyFont="1" applyBorder="1" applyAlignment="1">
      <alignment horizontal="left"/>
    </xf>
    <xf numFmtId="0" fontId="48" fillId="0" borderId="0" xfId="6" applyFont="1" applyAlignment="1">
      <alignment horizontal="center"/>
    </xf>
    <xf numFmtId="0" fontId="48" fillId="0" borderId="7" xfId="6" applyFont="1" applyBorder="1" applyAlignment="1">
      <alignment horizontal="center"/>
    </xf>
    <xf numFmtId="0" fontId="48" fillId="0" borderId="11" xfId="6" applyFont="1" applyBorder="1" applyAlignment="1">
      <alignment horizontal="center"/>
    </xf>
    <xf numFmtId="0" fontId="51" fillId="0" borderId="60" xfId="2240" applyFont="1" applyBorder="1" applyAlignment="1">
      <alignment horizontal="center"/>
    </xf>
    <xf numFmtId="0" fontId="51" fillId="0" borderId="27" xfId="2240" applyFont="1" applyBorder="1" applyAlignment="1">
      <alignment horizontal="center"/>
    </xf>
    <xf numFmtId="0" fontId="51" fillId="0" borderId="61" xfId="2240" applyFont="1" applyBorder="1" applyAlignment="1">
      <alignment horizontal="center"/>
    </xf>
    <xf numFmtId="0" fontId="43" fillId="33" borderId="28" xfId="26" applyFont="1" applyFill="1" applyBorder="1" applyAlignment="1">
      <alignment horizontal="center" vertical="center"/>
    </xf>
    <xf numFmtId="0" fontId="43" fillId="33" borderId="33" xfId="26" applyFont="1" applyFill="1" applyBorder="1" applyAlignment="1">
      <alignment horizontal="center" vertical="center"/>
    </xf>
    <xf numFmtId="174" fontId="42" fillId="0" borderId="44" xfId="20" applyNumberFormat="1" applyFont="1" applyBorder="1" applyAlignment="1">
      <alignment horizontal="left"/>
    </xf>
    <xf numFmtId="0" fontId="43" fillId="38" borderId="47" xfId="26" applyFont="1" applyFill="1" applyBorder="1" applyAlignment="1">
      <alignment horizontal="left" vertical="center"/>
    </xf>
    <xf numFmtId="0" fontId="43" fillId="38" borderId="48" xfId="26" applyFont="1" applyFill="1" applyBorder="1" applyAlignment="1">
      <alignment horizontal="left" vertical="center"/>
    </xf>
    <xf numFmtId="0" fontId="43" fillId="38" borderId="47" xfId="19" applyFont="1" applyFill="1" applyBorder="1" applyAlignment="1">
      <alignment horizontal="left" vertical="center"/>
    </xf>
    <xf numFmtId="0" fontId="43" fillId="38" borderId="48" xfId="19" applyFont="1" applyFill="1" applyBorder="1" applyAlignment="1">
      <alignment horizontal="left" vertical="center"/>
    </xf>
    <xf numFmtId="0" fontId="43" fillId="34" borderId="58" xfId="19" applyFont="1" applyFill="1" applyBorder="1" applyAlignment="1">
      <alignment horizontal="center" vertical="center"/>
    </xf>
    <xf numFmtId="0" fontId="43" fillId="34" borderId="59" xfId="19" applyFont="1" applyFill="1" applyBorder="1" applyAlignment="1">
      <alignment horizontal="center" vertical="center"/>
    </xf>
    <xf numFmtId="0" fontId="43" fillId="35" borderId="54" xfId="19" applyFont="1" applyFill="1" applyBorder="1" applyAlignment="1">
      <alignment horizontal="center" vertical="center"/>
    </xf>
    <xf numFmtId="0" fontId="43" fillId="35" borderId="55" xfId="19" applyFont="1" applyFill="1" applyBorder="1" applyAlignment="1">
      <alignment horizontal="center" vertical="center"/>
    </xf>
    <xf numFmtId="3" fontId="43" fillId="35" borderId="28" xfId="29" applyNumberFormat="1" applyFont="1" applyFill="1" applyBorder="1" applyAlignment="1">
      <alignment horizontal="center" vertical="center"/>
    </xf>
    <xf numFmtId="3" fontId="43" fillId="35" borderId="33" xfId="29" applyNumberFormat="1" applyFont="1" applyFill="1" applyBorder="1" applyAlignment="1">
      <alignment horizontal="center" vertical="center"/>
    </xf>
    <xf numFmtId="0" fontId="43" fillId="2" borderId="45" xfId="22" applyFont="1" applyFill="1" applyBorder="1" applyAlignment="1">
      <alignment horizontal="center" vertical="center"/>
    </xf>
    <xf numFmtId="0" fontId="43" fillId="2" borderId="46" xfId="22" applyFont="1" applyFill="1" applyBorder="1" applyAlignment="1">
      <alignment horizontal="center" vertical="center"/>
    </xf>
    <xf numFmtId="165" fontId="43" fillId="2" borderId="21" xfId="2249" applyFont="1" applyFill="1" applyBorder="1" applyAlignment="1">
      <alignment horizontal="center"/>
    </xf>
    <xf numFmtId="165" fontId="43" fillId="2" borderId="22" xfId="2249" applyFont="1" applyFill="1" applyBorder="1" applyAlignment="1">
      <alignment horizontal="center"/>
    </xf>
    <xf numFmtId="0" fontId="43" fillId="34" borderId="28" xfId="8" applyFont="1" applyFill="1" applyBorder="1" applyAlignment="1">
      <alignment horizontal="center" vertical="center"/>
    </xf>
    <xf numFmtId="0" fontId="43" fillId="34" borderId="9" xfId="8" applyFont="1" applyFill="1" applyBorder="1" applyAlignment="1">
      <alignment horizontal="center" vertical="center"/>
    </xf>
    <xf numFmtId="164" fontId="43" fillId="35" borderId="28" xfId="19" applyNumberFormat="1" applyFont="1" applyFill="1" applyBorder="1" applyAlignment="1" applyProtection="1">
      <alignment horizontal="center" vertical="center"/>
      <protection locked="0"/>
    </xf>
    <xf numFmtId="164" fontId="43" fillId="35" borderId="33" xfId="19" applyNumberFormat="1" applyFont="1" applyFill="1" applyBorder="1" applyAlignment="1" applyProtection="1">
      <alignment horizontal="center" vertical="center"/>
      <protection locked="0"/>
    </xf>
    <xf numFmtId="0" fontId="43" fillId="0" borderId="21" xfId="26" applyFont="1" applyBorder="1" applyAlignment="1">
      <alignment horizontal="left" vertical="center"/>
    </xf>
    <xf numFmtId="0" fontId="43" fillId="0" borderId="22" xfId="26" applyFont="1" applyBorder="1" applyAlignment="1">
      <alignment horizontal="left" vertical="center"/>
    </xf>
    <xf numFmtId="0" fontId="43" fillId="35" borderId="58" xfId="19" applyFont="1" applyFill="1" applyBorder="1" applyAlignment="1">
      <alignment horizontal="center" vertical="center"/>
    </xf>
    <xf numFmtId="0" fontId="43" fillId="35" borderId="59" xfId="19" applyFont="1" applyFill="1" applyBorder="1" applyAlignment="1">
      <alignment horizontal="center" vertical="center"/>
    </xf>
    <xf numFmtId="0" fontId="43" fillId="4" borderId="28" xfId="19" applyFont="1" applyFill="1" applyBorder="1" applyAlignment="1">
      <alignment horizontal="left" vertical="center" wrapText="1"/>
    </xf>
    <xf numFmtId="0" fontId="43" fillId="4" borderId="33" xfId="19" applyFont="1" applyFill="1" applyBorder="1" applyAlignment="1">
      <alignment horizontal="left" vertical="center" wrapText="1"/>
    </xf>
  </cellXfs>
  <cellStyles count="2255">
    <cellStyle name="0,0_x000d__x000a_NA_x000d__x000a_" xfId="1" xr:uid="{00000000-0005-0000-0000-000000000000}"/>
    <cellStyle name="0,0_x000d__x000a_NA_x000d__x000a_ 10" xfId="340" xr:uid="{00000000-0005-0000-0000-000001000000}"/>
    <cellStyle name="0,0_x000d__x000a_NA_x000d__x000a_ 11" xfId="341" xr:uid="{00000000-0005-0000-0000-000002000000}"/>
    <cellStyle name="0,0_x000d__x000a_NA_x000d__x000a_ 2" xfId="342" xr:uid="{00000000-0005-0000-0000-000003000000}"/>
    <cellStyle name="0,0_x000d__x000a_NA_x000d__x000a_ 2 10" xfId="343" xr:uid="{00000000-0005-0000-0000-000004000000}"/>
    <cellStyle name="0,0_x000d__x000a_NA_x000d__x000a_ 2 2" xfId="344" xr:uid="{00000000-0005-0000-0000-000005000000}"/>
    <cellStyle name="0,0_x000d__x000a_NA_x000d__x000a_ 2 3" xfId="345" xr:uid="{00000000-0005-0000-0000-000006000000}"/>
    <cellStyle name="0,0_x000d__x000a_NA_x000d__x000a_ 2 4" xfId="346" xr:uid="{00000000-0005-0000-0000-000007000000}"/>
    <cellStyle name="0,0_x000d__x000a_NA_x000d__x000a_ 2 5" xfId="347" xr:uid="{00000000-0005-0000-0000-000008000000}"/>
    <cellStyle name="0,0_x000d__x000a_NA_x000d__x000a_ 2 6" xfId="348" xr:uid="{00000000-0005-0000-0000-000009000000}"/>
    <cellStyle name="0,0_x000d__x000a_NA_x000d__x000a_ 2 7" xfId="349" xr:uid="{00000000-0005-0000-0000-00000A000000}"/>
    <cellStyle name="0,0_x000d__x000a_NA_x000d__x000a_ 2 8" xfId="350" xr:uid="{00000000-0005-0000-0000-00000B000000}"/>
    <cellStyle name="0,0_x000d__x000a_NA_x000d__x000a_ 2 9" xfId="351" xr:uid="{00000000-0005-0000-0000-00000C000000}"/>
    <cellStyle name="0,0_x000d__x000a_NA_x000d__x000a_ 3" xfId="352" xr:uid="{00000000-0005-0000-0000-00000D000000}"/>
    <cellStyle name="0,0_x000d__x000a_NA_x000d__x000a_ 4" xfId="353" xr:uid="{00000000-0005-0000-0000-00000E000000}"/>
    <cellStyle name="0,0_x000d__x000a_NA_x000d__x000a_ 5" xfId="354" xr:uid="{00000000-0005-0000-0000-00000F000000}"/>
    <cellStyle name="0,0_x000d__x000a_NA_x000d__x000a_ 6" xfId="355" xr:uid="{00000000-0005-0000-0000-000010000000}"/>
    <cellStyle name="0,0_x000d__x000a_NA_x000d__x000a_ 7" xfId="356" xr:uid="{00000000-0005-0000-0000-000011000000}"/>
    <cellStyle name="0,0_x000d__x000a_NA_x000d__x000a_ 8" xfId="357" xr:uid="{00000000-0005-0000-0000-000012000000}"/>
    <cellStyle name="0,0_x000d__x000a_NA_x000d__x000a_ 9" xfId="358" xr:uid="{00000000-0005-0000-0000-000013000000}"/>
    <cellStyle name="20% - Accent1" xfId="32" xr:uid="{00000000-0005-0000-0000-000014000000}"/>
    <cellStyle name="20% - Accent2" xfId="33" xr:uid="{00000000-0005-0000-0000-000015000000}"/>
    <cellStyle name="20% - Accent3" xfId="34" xr:uid="{00000000-0005-0000-0000-000016000000}"/>
    <cellStyle name="20% - Accent4" xfId="35" xr:uid="{00000000-0005-0000-0000-000017000000}"/>
    <cellStyle name="20% - Accent5" xfId="36" xr:uid="{00000000-0005-0000-0000-000018000000}"/>
    <cellStyle name="20% - Accent6" xfId="37" xr:uid="{00000000-0005-0000-0000-000019000000}"/>
    <cellStyle name="20% - ส่วนที่ถูกเน้น1 2" xfId="38" xr:uid="{00000000-0005-0000-0000-00001A000000}"/>
    <cellStyle name="20% - ส่วนที่ถูกเน้น1 3" xfId="39" xr:uid="{00000000-0005-0000-0000-00001B000000}"/>
    <cellStyle name="20% - ส่วนที่ถูกเน้น2 2" xfId="40" xr:uid="{00000000-0005-0000-0000-00001C000000}"/>
    <cellStyle name="20% - ส่วนที่ถูกเน้น2 3" xfId="41" xr:uid="{00000000-0005-0000-0000-00001D000000}"/>
    <cellStyle name="20% - ส่วนที่ถูกเน้น3 2" xfId="42" xr:uid="{00000000-0005-0000-0000-00001E000000}"/>
    <cellStyle name="20% - ส่วนที่ถูกเน้น3 3" xfId="43" xr:uid="{00000000-0005-0000-0000-00001F000000}"/>
    <cellStyle name="20% - ส่วนที่ถูกเน้น4 2" xfId="44" xr:uid="{00000000-0005-0000-0000-000020000000}"/>
    <cellStyle name="20% - ส่วนที่ถูกเน้น4 3" xfId="45" xr:uid="{00000000-0005-0000-0000-000021000000}"/>
    <cellStyle name="20% - ส่วนที่ถูกเน้น5 2" xfId="46" xr:uid="{00000000-0005-0000-0000-000022000000}"/>
    <cellStyle name="20% - ส่วนที่ถูกเน้น5 3" xfId="47" xr:uid="{00000000-0005-0000-0000-000023000000}"/>
    <cellStyle name="20% - ส่วนที่ถูกเน้น6 2" xfId="48" xr:uid="{00000000-0005-0000-0000-000024000000}"/>
    <cellStyle name="20% - ส่วนที่ถูกเน้น6 3" xfId="49" xr:uid="{00000000-0005-0000-0000-000025000000}"/>
    <cellStyle name="40% - Accent1" xfId="50" xr:uid="{00000000-0005-0000-0000-000026000000}"/>
    <cellStyle name="40% - Accent2" xfId="51" xr:uid="{00000000-0005-0000-0000-000027000000}"/>
    <cellStyle name="40% - Accent3" xfId="52" xr:uid="{00000000-0005-0000-0000-000028000000}"/>
    <cellStyle name="40% - Accent4" xfId="53" xr:uid="{00000000-0005-0000-0000-000029000000}"/>
    <cellStyle name="40% - Accent5" xfId="54" xr:uid="{00000000-0005-0000-0000-00002A000000}"/>
    <cellStyle name="40% - Accent6" xfId="55" xr:uid="{00000000-0005-0000-0000-00002B000000}"/>
    <cellStyle name="40% - ส่วนที่ถูกเน้น1 2" xfId="56" xr:uid="{00000000-0005-0000-0000-00002C000000}"/>
    <cellStyle name="40% - ส่วนที่ถูกเน้น1 3" xfId="57" xr:uid="{00000000-0005-0000-0000-00002D000000}"/>
    <cellStyle name="40% - ส่วนที่ถูกเน้น2 2" xfId="58" xr:uid="{00000000-0005-0000-0000-00002E000000}"/>
    <cellStyle name="40% - ส่วนที่ถูกเน้น2 3" xfId="59" xr:uid="{00000000-0005-0000-0000-00002F000000}"/>
    <cellStyle name="40% - ส่วนที่ถูกเน้น3 2" xfId="60" xr:uid="{00000000-0005-0000-0000-000030000000}"/>
    <cellStyle name="40% - ส่วนที่ถูกเน้น3 3" xfId="61" xr:uid="{00000000-0005-0000-0000-000031000000}"/>
    <cellStyle name="40% - ส่วนที่ถูกเน้น4 2" xfId="62" xr:uid="{00000000-0005-0000-0000-000032000000}"/>
    <cellStyle name="40% - ส่วนที่ถูกเน้น4 3" xfId="63" xr:uid="{00000000-0005-0000-0000-000033000000}"/>
    <cellStyle name="40% - ส่วนที่ถูกเน้น5 2" xfId="64" xr:uid="{00000000-0005-0000-0000-000034000000}"/>
    <cellStyle name="40% - ส่วนที่ถูกเน้น5 3" xfId="65" xr:uid="{00000000-0005-0000-0000-000035000000}"/>
    <cellStyle name="40% - ส่วนที่ถูกเน้น6 2" xfId="66" xr:uid="{00000000-0005-0000-0000-000036000000}"/>
    <cellStyle name="40% - ส่วนที่ถูกเน้น6 3" xfId="67" xr:uid="{00000000-0005-0000-0000-000037000000}"/>
    <cellStyle name="60% - Accent1" xfId="68" xr:uid="{00000000-0005-0000-0000-000038000000}"/>
    <cellStyle name="60% - Accent2" xfId="69" xr:uid="{00000000-0005-0000-0000-000039000000}"/>
    <cellStyle name="60% - Accent3" xfId="70" xr:uid="{00000000-0005-0000-0000-00003A000000}"/>
    <cellStyle name="60% - Accent4" xfId="71" xr:uid="{00000000-0005-0000-0000-00003B000000}"/>
    <cellStyle name="60% - Accent5" xfId="72" xr:uid="{00000000-0005-0000-0000-00003C000000}"/>
    <cellStyle name="60% - Accent6" xfId="73" xr:uid="{00000000-0005-0000-0000-00003D000000}"/>
    <cellStyle name="60% - ส่วนที่ถูกเน้น1 2" xfId="74" xr:uid="{00000000-0005-0000-0000-00003E000000}"/>
    <cellStyle name="60% - ส่วนที่ถูกเน้น1 3" xfId="75" xr:uid="{00000000-0005-0000-0000-00003F000000}"/>
    <cellStyle name="60% - ส่วนที่ถูกเน้น2 2" xfId="76" xr:uid="{00000000-0005-0000-0000-000040000000}"/>
    <cellStyle name="60% - ส่วนที่ถูกเน้น2 3" xfId="77" xr:uid="{00000000-0005-0000-0000-000041000000}"/>
    <cellStyle name="60% - ส่วนที่ถูกเน้น3 2" xfId="78" xr:uid="{00000000-0005-0000-0000-000042000000}"/>
    <cellStyle name="60% - ส่วนที่ถูกเน้น3 3" xfId="79" xr:uid="{00000000-0005-0000-0000-000043000000}"/>
    <cellStyle name="60% - ส่วนที่ถูกเน้น4 2" xfId="80" xr:uid="{00000000-0005-0000-0000-000044000000}"/>
    <cellStyle name="60% - ส่วนที่ถูกเน้น4 3" xfId="81" xr:uid="{00000000-0005-0000-0000-000045000000}"/>
    <cellStyle name="60% - ส่วนที่ถูกเน้น5 2" xfId="82" xr:uid="{00000000-0005-0000-0000-000046000000}"/>
    <cellStyle name="60% - ส่วนที่ถูกเน้น5 3" xfId="83" xr:uid="{00000000-0005-0000-0000-000047000000}"/>
    <cellStyle name="60% - ส่วนที่ถูกเน้น6 2" xfId="84" xr:uid="{00000000-0005-0000-0000-000048000000}"/>
    <cellStyle name="60% - ส่วนที่ถูกเน้น6 3" xfId="85" xr:uid="{00000000-0005-0000-0000-000049000000}"/>
    <cellStyle name="Accent1" xfId="86" xr:uid="{00000000-0005-0000-0000-00004A000000}"/>
    <cellStyle name="Accent2" xfId="87" xr:uid="{00000000-0005-0000-0000-00004B000000}"/>
    <cellStyle name="Accent3" xfId="88" xr:uid="{00000000-0005-0000-0000-00004C000000}"/>
    <cellStyle name="Accent4" xfId="89" xr:uid="{00000000-0005-0000-0000-00004D000000}"/>
    <cellStyle name="Accent5" xfId="90" xr:uid="{00000000-0005-0000-0000-00004E000000}"/>
    <cellStyle name="Accent6" xfId="91" xr:uid="{00000000-0005-0000-0000-00004F000000}"/>
    <cellStyle name="Bad" xfId="92" xr:uid="{00000000-0005-0000-0000-000050000000}"/>
    <cellStyle name="Calculation" xfId="93" xr:uid="{00000000-0005-0000-0000-000051000000}"/>
    <cellStyle name="Check Cell" xfId="94" xr:uid="{00000000-0005-0000-0000-000052000000}"/>
    <cellStyle name="Comma" xfId="10" builtinId="3"/>
    <cellStyle name="Comma 10" xfId="95" xr:uid="{00000000-0005-0000-0000-000053000000}"/>
    <cellStyle name="Comma 10 2" xfId="96" xr:uid="{00000000-0005-0000-0000-000054000000}"/>
    <cellStyle name="Comma 10 3" xfId="97" xr:uid="{00000000-0005-0000-0000-000055000000}"/>
    <cellStyle name="Comma 10 4" xfId="98" xr:uid="{00000000-0005-0000-0000-000056000000}"/>
    <cellStyle name="Comma 11" xfId="99" xr:uid="{00000000-0005-0000-0000-000057000000}"/>
    <cellStyle name="Comma 11 2" xfId="100" xr:uid="{00000000-0005-0000-0000-000058000000}"/>
    <cellStyle name="Comma 11 3" xfId="101" xr:uid="{00000000-0005-0000-0000-000059000000}"/>
    <cellStyle name="Comma 11 4" xfId="102" xr:uid="{00000000-0005-0000-0000-00005A000000}"/>
    <cellStyle name="Comma 12" xfId="103" xr:uid="{00000000-0005-0000-0000-00005B000000}"/>
    <cellStyle name="Comma 12 2" xfId="104" xr:uid="{00000000-0005-0000-0000-00005C000000}"/>
    <cellStyle name="Comma 12 3" xfId="105" xr:uid="{00000000-0005-0000-0000-00005D000000}"/>
    <cellStyle name="Comma 12 4" xfId="106" xr:uid="{00000000-0005-0000-0000-00005E000000}"/>
    <cellStyle name="Comma 13" xfId="24" xr:uid="{00000000-0005-0000-0000-00005F000000}"/>
    <cellStyle name="Comma 13 10" xfId="359" xr:uid="{00000000-0005-0000-0000-000060000000}"/>
    <cellStyle name="Comma 13 11" xfId="360" xr:uid="{00000000-0005-0000-0000-000061000000}"/>
    <cellStyle name="Comma 13 12" xfId="361" xr:uid="{00000000-0005-0000-0000-000062000000}"/>
    <cellStyle name="Comma 13 13" xfId="362" xr:uid="{00000000-0005-0000-0000-000063000000}"/>
    <cellStyle name="Comma 13 14" xfId="363" xr:uid="{00000000-0005-0000-0000-000064000000}"/>
    <cellStyle name="Comma 13 15" xfId="364" xr:uid="{00000000-0005-0000-0000-000065000000}"/>
    <cellStyle name="Comma 13 16" xfId="365" xr:uid="{00000000-0005-0000-0000-000066000000}"/>
    <cellStyle name="Comma 13 2" xfId="107" xr:uid="{00000000-0005-0000-0000-000067000000}"/>
    <cellStyle name="Comma 13 2 10" xfId="366" xr:uid="{00000000-0005-0000-0000-000068000000}"/>
    <cellStyle name="Comma 13 2 11" xfId="367" xr:uid="{00000000-0005-0000-0000-000069000000}"/>
    <cellStyle name="Comma 13 2 2" xfId="368" xr:uid="{00000000-0005-0000-0000-00006A000000}"/>
    <cellStyle name="Comma 13 2 2 10" xfId="369" xr:uid="{00000000-0005-0000-0000-00006B000000}"/>
    <cellStyle name="Comma 13 2 2 2" xfId="370" xr:uid="{00000000-0005-0000-0000-00006C000000}"/>
    <cellStyle name="Comma 13 2 2 3" xfId="371" xr:uid="{00000000-0005-0000-0000-00006D000000}"/>
    <cellStyle name="Comma 13 2 2 4" xfId="372" xr:uid="{00000000-0005-0000-0000-00006E000000}"/>
    <cellStyle name="Comma 13 2 2 5" xfId="373" xr:uid="{00000000-0005-0000-0000-00006F000000}"/>
    <cellStyle name="Comma 13 2 2 6" xfId="374" xr:uid="{00000000-0005-0000-0000-000070000000}"/>
    <cellStyle name="Comma 13 2 2 7" xfId="375" xr:uid="{00000000-0005-0000-0000-000071000000}"/>
    <cellStyle name="Comma 13 2 2 8" xfId="376" xr:uid="{00000000-0005-0000-0000-000072000000}"/>
    <cellStyle name="Comma 13 2 2 9" xfId="377" xr:uid="{00000000-0005-0000-0000-000073000000}"/>
    <cellStyle name="Comma 13 2 3" xfId="378" xr:uid="{00000000-0005-0000-0000-000074000000}"/>
    <cellStyle name="Comma 13 2 4" xfId="379" xr:uid="{00000000-0005-0000-0000-000075000000}"/>
    <cellStyle name="Comma 13 2 5" xfId="380" xr:uid="{00000000-0005-0000-0000-000076000000}"/>
    <cellStyle name="Comma 13 2 6" xfId="381" xr:uid="{00000000-0005-0000-0000-000077000000}"/>
    <cellStyle name="Comma 13 2 7" xfId="382" xr:uid="{00000000-0005-0000-0000-000078000000}"/>
    <cellStyle name="Comma 13 2 8" xfId="383" xr:uid="{00000000-0005-0000-0000-000079000000}"/>
    <cellStyle name="Comma 13 2 9" xfId="384" xr:uid="{00000000-0005-0000-0000-00007A000000}"/>
    <cellStyle name="Comma 13 3" xfId="108" xr:uid="{00000000-0005-0000-0000-00007B000000}"/>
    <cellStyle name="Comma 13 3 10" xfId="385" xr:uid="{00000000-0005-0000-0000-00007C000000}"/>
    <cellStyle name="Comma 13 3 11" xfId="386" xr:uid="{00000000-0005-0000-0000-00007D000000}"/>
    <cellStyle name="Comma 13 3 2" xfId="387" xr:uid="{00000000-0005-0000-0000-00007E000000}"/>
    <cellStyle name="Comma 13 3 2 10" xfId="388" xr:uid="{00000000-0005-0000-0000-00007F000000}"/>
    <cellStyle name="Comma 13 3 2 2" xfId="389" xr:uid="{00000000-0005-0000-0000-000080000000}"/>
    <cellStyle name="Comma 13 3 2 3" xfId="390" xr:uid="{00000000-0005-0000-0000-000081000000}"/>
    <cellStyle name="Comma 13 3 2 4" xfId="391" xr:uid="{00000000-0005-0000-0000-000082000000}"/>
    <cellStyle name="Comma 13 3 2 5" xfId="392" xr:uid="{00000000-0005-0000-0000-000083000000}"/>
    <cellStyle name="Comma 13 3 2 6" xfId="393" xr:uid="{00000000-0005-0000-0000-000084000000}"/>
    <cellStyle name="Comma 13 3 2 7" xfId="394" xr:uid="{00000000-0005-0000-0000-000085000000}"/>
    <cellStyle name="Comma 13 3 2 8" xfId="395" xr:uid="{00000000-0005-0000-0000-000086000000}"/>
    <cellStyle name="Comma 13 3 2 9" xfId="396" xr:uid="{00000000-0005-0000-0000-000087000000}"/>
    <cellStyle name="Comma 13 3 3" xfId="397" xr:uid="{00000000-0005-0000-0000-000088000000}"/>
    <cellStyle name="Comma 13 3 4" xfId="398" xr:uid="{00000000-0005-0000-0000-000089000000}"/>
    <cellStyle name="Comma 13 3 5" xfId="399" xr:uid="{00000000-0005-0000-0000-00008A000000}"/>
    <cellStyle name="Comma 13 3 6" xfId="400" xr:uid="{00000000-0005-0000-0000-00008B000000}"/>
    <cellStyle name="Comma 13 3 7" xfId="401" xr:uid="{00000000-0005-0000-0000-00008C000000}"/>
    <cellStyle name="Comma 13 3 8" xfId="402" xr:uid="{00000000-0005-0000-0000-00008D000000}"/>
    <cellStyle name="Comma 13 3 9" xfId="403" xr:uid="{00000000-0005-0000-0000-00008E000000}"/>
    <cellStyle name="Comma 13 4" xfId="109" xr:uid="{00000000-0005-0000-0000-00008F000000}"/>
    <cellStyle name="Comma 13 4 10" xfId="404" xr:uid="{00000000-0005-0000-0000-000090000000}"/>
    <cellStyle name="Comma 13 4 11" xfId="405" xr:uid="{00000000-0005-0000-0000-000091000000}"/>
    <cellStyle name="Comma 13 4 2" xfId="406" xr:uid="{00000000-0005-0000-0000-000092000000}"/>
    <cellStyle name="Comma 13 4 2 10" xfId="407" xr:uid="{00000000-0005-0000-0000-000093000000}"/>
    <cellStyle name="Comma 13 4 2 2" xfId="408" xr:uid="{00000000-0005-0000-0000-000094000000}"/>
    <cellStyle name="Comma 13 4 2 3" xfId="409" xr:uid="{00000000-0005-0000-0000-000095000000}"/>
    <cellStyle name="Comma 13 4 2 4" xfId="410" xr:uid="{00000000-0005-0000-0000-000096000000}"/>
    <cellStyle name="Comma 13 4 2 5" xfId="411" xr:uid="{00000000-0005-0000-0000-000097000000}"/>
    <cellStyle name="Comma 13 4 2 6" xfId="412" xr:uid="{00000000-0005-0000-0000-000098000000}"/>
    <cellStyle name="Comma 13 4 2 7" xfId="413" xr:uid="{00000000-0005-0000-0000-000099000000}"/>
    <cellStyle name="Comma 13 4 2 8" xfId="414" xr:uid="{00000000-0005-0000-0000-00009A000000}"/>
    <cellStyle name="Comma 13 4 2 9" xfId="415" xr:uid="{00000000-0005-0000-0000-00009B000000}"/>
    <cellStyle name="Comma 13 4 3" xfId="416" xr:uid="{00000000-0005-0000-0000-00009C000000}"/>
    <cellStyle name="Comma 13 4 4" xfId="417" xr:uid="{00000000-0005-0000-0000-00009D000000}"/>
    <cellStyle name="Comma 13 4 5" xfId="418" xr:uid="{00000000-0005-0000-0000-00009E000000}"/>
    <cellStyle name="Comma 13 4 6" xfId="419" xr:uid="{00000000-0005-0000-0000-00009F000000}"/>
    <cellStyle name="Comma 13 4 7" xfId="420" xr:uid="{00000000-0005-0000-0000-0000A0000000}"/>
    <cellStyle name="Comma 13 4 8" xfId="421" xr:uid="{00000000-0005-0000-0000-0000A1000000}"/>
    <cellStyle name="Comma 13 4 9" xfId="422" xr:uid="{00000000-0005-0000-0000-0000A2000000}"/>
    <cellStyle name="Comma 13 5" xfId="110" xr:uid="{00000000-0005-0000-0000-0000A3000000}"/>
    <cellStyle name="Comma 13 5 10" xfId="423" xr:uid="{00000000-0005-0000-0000-0000A4000000}"/>
    <cellStyle name="Comma 13 5 11" xfId="424" xr:uid="{00000000-0005-0000-0000-0000A5000000}"/>
    <cellStyle name="Comma 13 5 2" xfId="425" xr:uid="{00000000-0005-0000-0000-0000A6000000}"/>
    <cellStyle name="Comma 13 5 2 10" xfId="426" xr:uid="{00000000-0005-0000-0000-0000A7000000}"/>
    <cellStyle name="Comma 13 5 2 2" xfId="427" xr:uid="{00000000-0005-0000-0000-0000A8000000}"/>
    <cellStyle name="Comma 13 5 2 3" xfId="428" xr:uid="{00000000-0005-0000-0000-0000A9000000}"/>
    <cellStyle name="Comma 13 5 2 4" xfId="429" xr:uid="{00000000-0005-0000-0000-0000AA000000}"/>
    <cellStyle name="Comma 13 5 2 5" xfId="430" xr:uid="{00000000-0005-0000-0000-0000AB000000}"/>
    <cellStyle name="Comma 13 5 2 6" xfId="431" xr:uid="{00000000-0005-0000-0000-0000AC000000}"/>
    <cellStyle name="Comma 13 5 2 7" xfId="432" xr:uid="{00000000-0005-0000-0000-0000AD000000}"/>
    <cellStyle name="Comma 13 5 2 8" xfId="433" xr:uid="{00000000-0005-0000-0000-0000AE000000}"/>
    <cellStyle name="Comma 13 5 2 9" xfId="434" xr:uid="{00000000-0005-0000-0000-0000AF000000}"/>
    <cellStyle name="Comma 13 5 3" xfId="435" xr:uid="{00000000-0005-0000-0000-0000B0000000}"/>
    <cellStyle name="Comma 13 5 4" xfId="436" xr:uid="{00000000-0005-0000-0000-0000B1000000}"/>
    <cellStyle name="Comma 13 5 5" xfId="437" xr:uid="{00000000-0005-0000-0000-0000B2000000}"/>
    <cellStyle name="Comma 13 5 6" xfId="438" xr:uid="{00000000-0005-0000-0000-0000B3000000}"/>
    <cellStyle name="Comma 13 5 7" xfId="439" xr:uid="{00000000-0005-0000-0000-0000B4000000}"/>
    <cellStyle name="Comma 13 5 8" xfId="440" xr:uid="{00000000-0005-0000-0000-0000B5000000}"/>
    <cellStyle name="Comma 13 5 9" xfId="441" xr:uid="{00000000-0005-0000-0000-0000B6000000}"/>
    <cellStyle name="Comma 13 6" xfId="442" xr:uid="{00000000-0005-0000-0000-0000B7000000}"/>
    <cellStyle name="Comma 13 6 10" xfId="443" xr:uid="{00000000-0005-0000-0000-0000B8000000}"/>
    <cellStyle name="Comma 13 6 2" xfId="444" xr:uid="{00000000-0005-0000-0000-0000B9000000}"/>
    <cellStyle name="Comma 13 6 3" xfId="445" xr:uid="{00000000-0005-0000-0000-0000BA000000}"/>
    <cellStyle name="Comma 13 6 4" xfId="446" xr:uid="{00000000-0005-0000-0000-0000BB000000}"/>
    <cellStyle name="Comma 13 6 5" xfId="447" xr:uid="{00000000-0005-0000-0000-0000BC000000}"/>
    <cellStyle name="Comma 13 6 6" xfId="448" xr:uid="{00000000-0005-0000-0000-0000BD000000}"/>
    <cellStyle name="Comma 13 6 7" xfId="449" xr:uid="{00000000-0005-0000-0000-0000BE000000}"/>
    <cellStyle name="Comma 13 6 8" xfId="450" xr:uid="{00000000-0005-0000-0000-0000BF000000}"/>
    <cellStyle name="Comma 13 6 9" xfId="451" xr:uid="{00000000-0005-0000-0000-0000C0000000}"/>
    <cellStyle name="Comma 13 7" xfId="452" xr:uid="{00000000-0005-0000-0000-0000C1000000}"/>
    <cellStyle name="Comma 13 8" xfId="453" xr:uid="{00000000-0005-0000-0000-0000C2000000}"/>
    <cellStyle name="Comma 13 9" xfId="454" xr:uid="{00000000-0005-0000-0000-0000C3000000}"/>
    <cellStyle name="Comma 14" xfId="111" xr:uid="{00000000-0005-0000-0000-0000C4000000}"/>
    <cellStyle name="Comma 15" xfId="112" xr:uid="{00000000-0005-0000-0000-0000C5000000}"/>
    <cellStyle name="Comma 15 2" xfId="2243" xr:uid="{00000000-0005-0000-0000-0000C6000000}"/>
    <cellStyle name="Comma 16" xfId="113" xr:uid="{00000000-0005-0000-0000-0000C7000000}"/>
    <cellStyle name="Comma 16 10" xfId="455" xr:uid="{00000000-0005-0000-0000-0000C8000000}"/>
    <cellStyle name="Comma 16 11" xfId="456" xr:uid="{00000000-0005-0000-0000-0000C9000000}"/>
    <cellStyle name="Comma 16 12" xfId="457" xr:uid="{00000000-0005-0000-0000-0000CA000000}"/>
    <cellStyle name="Comma 16 13" xfId="2252" xr:uid="{00000000-0005-0000-0000-0000CB000000}"/>
    <cellStyle name="Comma 16 2" xfId="114" xr:uid="{00000000-0005-0000-0000-0000CC000000}"/>
    <cellStyle name="Comma 16 2 10" xfId="458" xr:uid="{00000000-0005-0000-0000-0000CD000000}"/>
    <cellStyle name="Comma 16 2 11" xfId="459" xr:uid="{00000000-0005-0000-0000-0000CE000000}"/>
    <cellStyle name="Comma 16 2 2" xfId="460" xr:uid="{00000000-0005-0000-0000-0000CF000000}"/>
    <cellStyle name="Comma 16 2 2 10" xfId="461" xr:uid="{00000000-0005-0000-0000-0000D0000000}"/>
    <cellStyle name="Comma 16 2 2 2" xfId="462" xr:uid="{00000000-0005-0000-0000-0000D1000000}"/>
    <cellStyle name="Comma 16 2 2 3" xfId="463" xr:uid="{00000000-0005-0000-0000-0000D2000000}"/>
    <cellStyle name="Comma 16 2 2 4" xfId="464" xr:uid="{00000000-0005-0000-0000-0000D3000000}"/>
    <cellStyle name="Comma 16 2 2 5" xfId="465" xr:uid="{00000000-0005-0000-0000-0000D4000000}"/>
    <cellStyle name="Comma 16 2 2 6" xfId="466" xr:uid="{00000000-0005-0000-0000-0000D5000000}"/>
    <cellStyle name="Comma 16 2 2 7" xfId="467" xr:uid="{00000000-0005-0000-0000-0000D6000000}"/>
    <cellStyle name="Comma 16 2 2 8" xfId="468" xr:uid="{00000000-0005-0000-0000-0000D7000000}"/>
    <cellStyle name="Comma 16 2 2 9" xfId="469" xr:uid="{00000000-0005-0000-0000-0000D8000000}"/>
    <cellStyle name="Comma 16 2 3" xfId="470" xr:uid="{00000000-0005-0000-0000-0000D9000000}"/>
    <cellStyle name="Comma 16 2 4" xfId="471" xr:uid="{00000000-0005-0000-0000-0000DA000000}"/>
    <cellStyle name="Comma 16 2 5" xfId="472" xr:uid="{00000000-0005-0000-0000-0000DB000000}"/>
    <cellStyle name="Comma 16 2 6" xfId="473" xr:uid="{00000000-0005-0000-0000-0000DC000000}"/>
    <cellStyle name="Comma 16 2 7" xfId="474" xr:uid="{00000000-0005-0000-0000-0000DD000000}"/>
    <cellStyle name="Comma 16 2 8" xfId="475" xr:uid="{00000000-0005-0000-0000-0000DE000000}"/>
    <cellStyle name="Comma 16 2 9" xfId="476" xr:uid="{00000000-0005-0000-0000-0000DF000000}"/>
    <cellStyle name="Comma 16 3" xfId="477" xr:uid="{00000000-0005-0000-0000-0000E0000000}"/>
    <cellStyle name="Comma 16 3 10" xfId="478" xr:uid="{00000000-0005-0000-0000-0000E1000000}"/>
    <cellStyle name="Comma 16 3 2" xfId="479" xr:uid="{00000000-0005-0000-0000-0000E2000000}"/>
    <cellStyle name="Comma 16 3 3" xfId="480" xr:uid="{00000000-0005-0000-0000-0000E3000000}"/>
    <cellStyle name="Comma 16 3 4" xfId="481" xr:uid="{00000000-0005-0000-0000-0000E4000000}"/>
    <cellStyle name="Comma 16 3 5" xfId="482" xr:uid="{00000000-0005-0000-0000-0000E5000000}"/>
    <cellStyle name="Comma 16 3 6" xfId="483" xr:uid="{00000000-0005-0000-0000-0000E6000000}"/>
    <cellStyle name="Comma 16 3 7" xfId="484" xr:uid="{00000000-0005-0000-0000-0000E7000000}"/>
    <cellStyle name="Comma 16 3 8" xfId="485" xr:uid="{00000000-0005-0000-0000-0000E8000000}"/>
    <cellStyle name="Comma 16 3 9" xfId="486" xr:uid="{00000000-0005-0000-0000-0000E9000000}"/>
    <cellStyle name="Comma 16 4" xfId="487" xr:uid="{00000000-0005-0000-0000-0000EA000000}"/>
    <cellStyle name="Comma 16 5" xfId="488" xr:uid="{00000000-0005-0000-0000-0000EB000000}"/>
    <cellStyle name="Comma 16 6" xfId="489" xr:uid="{00000000-0005-0000-0000-0000EC000000}"/>
    <cellStyle name="Comma 16 7" xfId="490" xr:uid="{00000000-0005-0000-0000-0000ED000000}"/>
    <cellStyle name="Comma 16 8" xfId="491" xr:uid="{00000000-0005-0000-0000-0000EE000000}"/>
    <cellStyle name="Comma 16 9" xfId="492" xr:uid="{00000000-0005-0000-0000-0000EF000000}"/>
    <cellStyle name="Comma 17" xfId="115" xr:uid="{00000000-0005-0000-0000-0000F0000000}"/>
    <cellStyle name="Comma 17 10" xfId="493" xr:uid="{00000000-0005-0000-0000-0000F1000000}"/>
    <cellStyle name="Comma 17 11" xfId="494" xr:uid="{00000000-0005-0000-0000-0000F2000000}"/>
    <cellStyle name="Comma 17 12" xfId="495" xr:uid="{00000000-0005-0000-0000-0000F3000000}"/>
    <cellStyle name="Comma 17 13" xfId="496" xr:uid="{00000000-0005-0000-0000-0000F4000000}"/>
    <cellStyle name="Comma 17 14" xfId="497" xr:uid="{00000000-0005-0000-0000-0000F5000000}"/>
    <cellStyle name="Comma 17 2" xfId="116" xr:uid="{00000000-0005-0000-0000-0000F6000000}"/>
    <cellStyle name="Comma 17 3" xfId="117" xr:uid="{00000000-0005-0000-0000-0000F7000000}"/>
    <cellStyle name="Comma 17 3 10" xfId="498" xr:uid="{00000000-0005-0000-0000-0000F8000000}"/>
    <cellStyle name="Comma 17 3 11" xfId="499" xr:uid="{00000000-0005-0000-0000-0000F9000000}"/>
    <cellStyle name="Comma 17 3 12" xfId="500" xr:uid="{00000000-0005-0000-0000-0000FA000000}"/>
    <cellStyle name="Comma 17 3 2" xfId="331" xr:uid="{00000000-0005-0000-0000-0000FB000000}"/>
    <cellStyle name="Comma 17 3 2 10" xfId="501" xr:uid="{00000000-0005-0000-0000-0000FC000000}"/>
    <cellStyle name="Comma 17 3 2 2" xfId="502" xr:uid="{00000000-0005-0000-0000-0000FD000000}"/>
    <cellStyle name="Comma 17 3 2 3" xfId="503" xr:uid="{00000000-0005-0000-0000-0000FE000000}"/>
    <cellStyle name="Comma 17 3 2 4" xfId="504" xr:uid="{00000000-0005-0000-0000-0000FF000000}"/>
    <cellStyle name="Comma 17 3 2 5" xfId="505" xr:uid="{00000000-0005-0000-0000-000000010000}"/>
    <cellStyle name="Comma 17 3 2 6" xfId="506" xr:uid="{00000000-0005-0000-0000-000001010000}"/>
    <cellStyle name="Comma 17 3 2 7" xfId="507" xr:uid="{00000000-0005-0000-0000-000002010000}"/>
    <cellStyle name="Comma 17 3 2 8" xfId="508" xr:uid="{00000000-0005-0000-0000-000003010000}"/>
    <cellStyle name="Comma 17 3 2 9" xfId="509" xr:uid="{00000000-0005-0000-0000-000004010000}"/>
    <cellStyle name="Comma 17 3 3" xfId="510" xr:uid="{00000000-0005-0000-0000-000005010000}"/>
    <cellStyle name="Comma 17 3 3 10" xfId="511" xr:uid="{00000000-0005-0000-0000-000006010000}"/>
    <cellStyle name="Comma 17 3 3 2" xfId="512" xr:uid="{00000000-0005-0000-0000-000007010000}"/>
    <cellStyle name="Comma 17 3 3 3" xfId="513" xr:uid="{00000000-0005-0000-0000-000008010000}"/>
    <cellStyle name="Comma 17 3 3 4" xfId="514" xr:uid="{00000000-0005-0000-0000-000009010000}"/>
    <cellStyle name="Comma 17 3 3 5" xfId="515" xr:uid="{00000000-0005-0000-0000-00000A010000}"/>
    <cellStyle name="Comma 17 3 3 6" xfId="516" xr:uid="{00000000-0005-0000-0000-00000B010000}"/>
    <cellStyle name="Comma 17 3 3 7" xfId="517" xr:uid="{00000000-0005-0000-0000-00000C010000}"/>
    <cellStyle name="Comma 17 3 3 8" xfId="518" xr:uid="{00000000-0005-0000-0000-00000D010000}"/>
    <cellStyle name="Comma 17 3 3 9" xfId="519" xr:uid="{00000000-0005-0000-0000-00000E010000}"/>
    <cellStyle name="Comma 17 3 4" xfId="520" xr:uid="{00000000-0005-0000-0000-00000F010000}"/>
    <cellStyle name="Comma 17 3 5" xfId="521" xr:uid="{00000000-0005-0000-0000-000010010000}"/>
    <cellStyle name="Comma 17 3 6" xfId="522" xr:uid="{00000000-0005-0000-0000-000011010000}"/>
    <cellStyle name="Comma 17 3 7" xfId="523" xr:uid="{00000000-0005-0000-0000-000012010000}"/>
    <cellStyle name="Comma 17 3 8" xfId="524" xr:uid="{00000000-0005-0000-0000-000013010000}"/>
    <cellStyle name="Comma 17 3 9" xfId="525" xr:uid="{00000000-0005-0000-0000-000014010000}"/>
    <cellStyle name="Comma 17 4" xfId="526" xr:uid="{00000000-0005-0000-0000-000015010000}"/>
    <cellStyle name="Comma 17 4 10" xfId="527" xr:uid="{00000000-0005-0000-0000-000016010000}"/>
    <cellStyle name="Comma 17 4 2" xfId="528" xr:uid="{00000000-0005-0000-0000-000017010000}"/>
    <cellStyle name="Comma 17 4 3" xfId="529" xr:uid="{00000000-0005-0000-0000-000018010000}"/>
    <cellStyle name="Comma 17 4 4" xfId="530" xr:uid="{00000000-0005-0000-0000-000019010000}"/>
    <cellStyle name="Comma 17 4 5" xfId="531" xr:uid="{00000000-0005-0000-0000-00001A010000}"/>
    <cellStyle name="Comma 17 4 6" xfId="532" xr:uid="{00000000-0005-0000-0000-00001B010000}"/>
    <cellStyle name="Comma 17 4 7" xfId="533" xr:uid="{00000000-0005-0000-0000-00001C010000}"/>
    <cellStyle name="Comma 17 4 8" xfId="534" xr:uid="{00000000-0005-0000-0000-00001D010000}"/>
    <cellStyle name="Comma 17 4 9" xfId="535" xr:uid="{00000000-0005-0000-0000-00001E010000}"/>
    <cellStyle name="Comma 17 5" xfId="536" xr:uid="{00000000-0005-0000-0000-00001F010000}"/>
    <cellStyle name="Comma 17 5 10" xfId="537" xr:uid="{00000000-0005-0000-0000-000020010000}"/>
    <cellStyle name="Comma 17 5 2" xfId="538" xr:uid="{00000000-0005-0000-0000-000021010000}"/>
    <cellStyle name="Comma 17 5 3" xfId="539" xr:uid="{00000000-0005-0000-0000-000022010000}"/>
    <cellStyle name="Comma 17 5 4" xfId="540" xr:uid="{00000000-0005-0000-0000-000023010000}"/>
    <cellStyle name="Comma 17 5 5" xfId="541" xr:uid="{00000000-0005-0000-0000-000024010000}"/>
    <cellStyle name="Comma 17 5 6" xfId="542" xr:uid="{00000000-0005-0000-0000-000025010000}"/>
    <cellStyle name="Comma 17 5 7" xfId="543" xr:uid="{00000000-0005-0000-0000-000026010000}"/>
    <cellStyle name="Comma 17 5 8" xfId="544" xr:uid="{00000000-0005-0000-0000-000027010000}"/>
    <cellStyle name="Comma 17 5 9" xfId="545" xr:uid="{00000000-0005-0000-0000-000028010000}"/>
    <cellStyle name="Comma 17 6" xfId="546" xr:uid="{00000000-0005-0000-0000-000029010000}"/>
    <cellStyle name="Comma 17 7" xfId="547" xr:uid="{00000000-0005-0000-0000-00002A010000}"/>
    <cellStyle name="Comma 17 8" xfId="548" xr:uid="{00000000-0005-0000-0000-00002B010000}"/>
    <cellStyle name="Comma 17 9" xfId="549" xr:uid="{00000000-0005-0000-0000-00002C010000}"/>
    <cellStyle name="Comma 18" xfId="118" xr:uid="{00000000-0005-0000-0000-00002D010000}"/>
    <cellStyle name="Comma 18 10" xfId="550" xr:uid="{00000000-0005-0000-0000-00002E010000}"/>
    <cellStyle name="Comma 18 11" xfId="551" xr:uid="{00000000-0005-0000-0000-00002F010000}"/>
    <cellStyle name="Comma 18 12" xfId="552" xr:uid="{00000000-0005-0000-0000-000030010000}"/>
    <cellStyle name="Comma 18 2" xfId="332" xr:uid="{00000000-0005-0000-0000-000031010000}"/>
    <cellStyle name="Comma 18 2 10" xfId="553" xr:uid="{00000000-0005-0000-0000-000032010000}"/>
    <cellStyle name="Comma 18 2 2" xfId="554" xr:uid="{00000000-0005-0000-0000-000033010000}"/>
    <cellStyle name="Comma 18 2 3" xfId="555" xr:uid="{00000000-0005-0000-0000-000034010000}"/>
    <cellStyle name="Comma 18 2 4" xfId="556" xr:uid="{00000000-0005-0000-0000-000035010000}"/>
    <cellStyle name="Comma 18 2 5" xfId="557" xr:uid="{00000000-0005-0000-0000-000036010000}"/>
    <cellStyle name="Comma 18 2 6" xfId="558" xr:uid="{00000000-0005-0000-0000-000037010000}"/>
    <cellStyle name="Comma 18 2 7" xfId="559" xr:uid="{00000000-0005-0000-0000-000038010000}"/>
    <cellStyle name="Comma 18 2 8" xfId="560" xr:uid="{00000000-0005-0000-0000-000039010000}"/>
    <cellStyle name="Comma 18 2 9" xfId="561" xr:uid="{00000000-0005-0000-0000-00003A010000}"/>
    <cellStyle name="Comma 18 3" xfId="562" xr:uid="{00000000-0005-0000-0000-00003B010000}"/>
    <cellStyle name="Comma 18 3 10" xfId="563" xr:uid="{00000000-0005-0000-0000-00003C010000}"/>
    <cellStyle name="Comma 18 3 2" xfId="564" xr:uid="{00000000-0005-0000-0000-00003D010000}"/>
    <cellStyle name="Comma 18 3 3" xfId="565" xr:uid="{00000000-0005-0000-0000-00003E010000}"/>
    <cellStyle name="Comma 18 3 4" xfId="566" xr:uid="{00000000-0005-0000-0000-00003F010000}"/>
    <cellStyle name="Comma 18 3 5" xfId="567" xr:uid="{00000000-0005-0000-0000-000040010000}"/>
    <cellStyle name="Comma 18 3 6" xfId="568" xr:uid="{00000000-0005-0000-0000-000041010000}"/>
    <cellStyle name="Comma 18 3 7" xfId="569" xr:uid="{00000000-0005-0000-0000-000042010000}"/>
    <cellStyle name="Comma 18 3 8" xfId="570" xr:uid="{00000000-0005-0000-0000-000043010000}"/>
    <cellStyle name="Comma 18 3 9" xfId="571" xr:uid="{00000000-0005-0000-0000-000044010000}"/>
    <cellStyle name="Comma 18 4" xfId="572" xr:uid="{00000000-0005-0000-0000-000045010000}"/>
    <cellStyle name="Comma 18 5" xfId="573" xr:uid="{00000000-0005-0000-0000-000046010000}"/>
    <cellStyle name="Comma 18 6" xfId="574" xr:uid="{00000000-0005-0000-0000-000047010000}"/>
    <cellStyle name="Comma 18 7" xfId="575" xr:uid="{00000000-0005-0000-0000-000048010000}"/>
    <cellStyle name="Comma 18 8" xfId="576" xr:uid="{00000000-0005-0000-0000-000049010000}"/>
    <cellStyle name="Comma 18 9" xfId="577" xr:uid="{00000000-0005-0000-0000-00004A010000}"/>
    <cellStyle name="Comma 19" xfId="119" xr:uid="{00000000-0005-0000-0000-00004B010000}"/>
    <cellStyle name="Comma 19 10" xfId="578" xr:uid="{00000000-0005-0000-0000-00004C010000}"/>
    <cellStyle name="Comma 19 11" xfId="579" xr:uid="{00000000-0005-0000-0000-00004D010000}"/>
    <cellStyle name="Comma 19 12" xfId="580" xr:uid="{00000000-0005-0000-0000-00004E010000}"/>
    <cellStyle name="Comma 19 2" xfId="581" xr:uid="{00000000-0005-0000-0000-00004F010000}"/>
    <cellStyle name="Comma 19 2 10" xfId="582" xr:uid="{00000000-0005-0000-0000-000050010000}"/>
    <cellStyle name="Comma 19 2 2" xfId="583" xr:uid="{00000000-0005-0000-0000-000051010000}"/>
    <cellStyle name="Comma 19 2 3" xfId="584" xr:uid="{00000000-0005-0000-0000-000052010000}"/>
    <cellStyle name="Comma 19 2 4" xfId="585" xr:uid="{00000000-0005-0000-0000-000053010000}"/>
    <cellStyle name="Comma 19 2 5" xfId="586" xr:uid="{00000000-0005-0000-0000-000054010000}"/>
    <cellStyle name="Comma 19 2 6" xfId="587" xr:uid="{00000000-0005-0000-0000-000055010000}"/>
    <cellStyle name="Comma 19 2 7" xfId="588" xr:uid="{00000000-0005-0000-0000-000056010000}"/>
    <cellStyle name="Comma 19 2 8" xfId="589" xr:uid="{00000000-0005-0000-0000-000057010000}"/>
    <cellStyle name="Comma 19 2 9" xfId="590" xr:uid="{00000000-0005-0000-0000-000058010000}"/>
    <cellStyle name="Comma 19 3" xfId="591" xr:uid="{00000000-0005-0000-0000-000059010000}"/>
    <cellStyle name="Comma 19 3 10" xfId="592" xr:uid="{00000000-0005-0000-0000-00005A010000}"/>
    <cellStyle name="Comma 19 3 2" xfId="593" xr:uid="{00000000-0005-0000-0000-00005B010000}"/>
    <cellStyle name="Comma 19 3 3" xfId="594" xr:uid="{00000000-0005-0000-0000-00005C010000}"/>
    <cellStyle name="Comma 19 3 4" xfId="595" xr:uid="{00000000-0005-0000-0000-00005D010000}"/>
    <cellStyle name="Comma 19 3 5" xfId="596" xr:uid="{00000000-0005-0000-0000-00005E010000}"/>
    <cellStyle name="Comma 19 3 6" xfId="597" xr:uid="{00000000-0005-0000-0000-00005F010000}"/>
    <cellStyle name="Comma 19 3 7" xfId="598" xr:uid="{00000000-0005-0000-0000-000060010000}"/>
    <cellStyle name="Comma 19 3 8" xfId="599" xr:uid="{00000000-0005-0000-0000-000061010000}"/>
    <cellStyle name="Comma 19 3 9" xfId="600" xr:uid="{00000000-0005-0000-0000-000062010000}"/>
    <cellStyle name="Comma 19 4" xfId="601" xr:uid="{00000000-0005-0000-0000-000063010000}"/>
    <cellStyle name="Comma 19 5" xfId="602" xr:uid="{00000000-0005-0000-0000-000064010000}"/>
    <cellStyle name="Comma 19 6" xfId="603" xr:uid="{00000000-0005-0000-0000-000065010000}"/>
    <cellStyle name="Comma 19 7" xfId="604" xr:uid="{00000000-0005-0000-0000-000066010000}"/>
    <cellStyle name="Comma 19 8" xfId="605" xr:uid="{00000000-0005-0000-0000-000067010000}"/>
    <cellStyle name="Comma 19 9" xfId="606" xr:uid="{00000000-0005-0000-0000-000068010000}"/>
    <cellStyle name="Comma 2" xfId="2" xr:uid="{00000000-0005-0000-0000-000069010000}"/>
    <cellStyle name="Comma 2 2" xfId="3" xr:uid="{00000000-0005-0000-0000-00006A010000}"/>
    <cellStyle name="Comma 2 3" xfId="120" xr:uid="{00000000-0005-0000-0000-00006B010000}"/>
    <cellStyle name="Comma 2 3 2" xfId="2251" xr:uid="{00000000-0005-0000-0000-00006C010000}"/>
    <cellStyle name="Comma 20" xfId="121" xr:uid="{00000000-0005-0000-0000-00006D010000}"/>
    <cellStyle name="Comma 21" xfId="333" xr:uid="{00000000-0005-0000-0000-00006E010000}"/>
    <cellStyle name="Comma 3" xfId="15" xr:uid="{00000000-0005-0000-0000-00006F010000}"/>
    <cellStyle name="Comma 3 2" xfId="28" xr:uid="{00000000-0005-0000-0000-000070010000}"/>
    <cellStyle name="Comma 3 3" xfId="334" xr:uid="{00000000-0005-0000-0000-000071010000}"/>
    <cellStyle name="Comma 4" xfId="14" xr:uid="{00000000-0005-0000-0000-000072010000}"/>
    <cellStyle name="Comma 4 2" xfId="30" xr:uid="{00000000-0005-0000-0000-000073010000}"/>
    <cellStyle name="Comma 5" xfId="122" xr:uid="{00000000-0005-0000-0000-000074010000}"/>
    <cellStyle name="Comma 5 10" xfId="123" xr:uid="{00000000-0005-0000-0000-000075010000}"/>
    <cellStyle name="Comma 5 11" xfId="607" xr:uid="{00000000-0005-0000-0000-000076010000}"/>
    <cellStyle name="Comma 5 12" xfId="608" xr:uid="{00000000-0005-0000-0000-000077010000}"/>
    <cellStyle name="Comma 5 13" xfId="609" xr:uid="{00000000-0005-0000-0000-000078010000}"/>
    <cellStyle name="Comma 5 14" xfId="610" xr:uid="{00000000-0005-0000-0000-000079010000}"/>
    <cellStyle name="Comma 5 15" xfId="611" xr:uid="{00000000-0005-0000-0000-00007A010000}"/>
    <cellStyle name="Comma 5 16" xfId="612" xr:uid="{00000000-0005-0000-0000-00007B010000}"/>
    <cellStyle name="Comma 5 17" xfId="613" xr:uid="{00000000-0005-0000-0000-00007C010000}"/>
    <cellStyle name="Comma 5 18" xfId="614" xr:uid="{00000000-0005-0000-0000-00007D010000}"/>
    <cellStyle name="Comma 5 19" xfId="615" xr:uid="{00000000-0005-0000-0000-00007E010000}"/>
    <cellStyle name="Comma 5 2" xfId="124" xr:uid="{00000000-0005-0000-0000-00007F010000}"/>
    <cellStyle name="Comma 5 2 10" xfId="616" xr:uid="{00000000-0005-0000-0000-000080010000}"/>
    <cellStyle name="Comma 5 2 11" xfId="617" xr:uid="{00000000-0005-0000-0000-000081010000}"/>
    <cellStyle name="Comma 5 2 2" xfId="618" xr:uid="{00000000-0005-0000-0000-000082010000}"/>
    <cellStyle name="Comma 5 2 2 10" xfId="619" xr:uid="{00000000-0005-0000-0000-000083010000}"/>
    <cellStyle name="Comma 5 2 2 2" xfId="620" xr:uid="{00000000-0005-0000-0000-000084010000}"/>
    <cellStyle name="Comma 5 2 2 3" xfId="621" xr:uid="{00000000-0005-0000-0000-000085010000}"/>
    <cellStyle name="Comma 5 2 2 4" xfId="622" xr:uid="{00000000-0005-0000-0000-000086010000}"/>
    <cellStyle name="Comma 5 2 2 5" xfId="623" xr:uid="{00000000-0005-0000-0000-000087010000}"/>
    <cellStyle name="Comma 5 2 2 6" xfId="624" xr:uid="{00000000-0005-0000-0000-000088010000}"/>
    <cellStyle name="Comma 5 2 2 7" xfId="625" xr:uid="{00000000-0005-0000-0000-000089010000}"/>
    <cellStyle name="Comma 5 2 2 8" xfId="626" xr:uid="{00000000-0005-0000-0000-00008A010000}"/>
    <cellStyle name="Comma 5 2 2 9" xfId="627" xr:uid="{00000000-0005-0000-0000-00008B010000}"/>
    <cellStyle name="Comma 5 2 3" xfId="628" xr:uid="{00000000-0005-0000-0000-00008C010000}"/>
    <cellStyle name="Comma 5 2 4" xfId="629" xr:uid="{00000000-0005-0000-0000-00008D010000}"/>
    <cellStyle name="Comma 5 2 5" xfId="630" xr:uid="{00000000-0005-0000-0000-00008E010000}"/>
    <cellStyle name="Comma 5 2 6" xfId="631" xr:uid="{00000000-0005-0000-0000-00008F010000}"/>
    <cellStyle name="Comma 5 2 7" xfId="632" xr:uid="{00000000-0005-0000-0000-000090010000}"/>
    <cellStyle name="Comma 5 2 8" xfId="633" xr:uid="{00000000-0005-0000-0000-000091010000}"/>
    <cellStyle name="Comma 5 2 9" xfId="634" xr:uid="{00000000-0005-0000-0000-000092010000}"/>
    <cellStyle name="Comma 5 3" xfId="125" xr:uid="{00000000-0005-0000-0000-000093010000}"/>
    <cellStyle name="Comma 5 3 10" xfId="635" xr:uid="{00000000-0005-0000-0000-000094010000}"/>
    <cellStyle name="Comma 5 3 11" xfId="636" xr:uid="{00000000-0005-0000-0000-000095010000}"/>
    <cellStyle name="Comma 5 3 2" xfId="637" xr:uid="{00000000-0005-0000-0000-000096010000}"/>
    <cellStyle name="Comma 5 3 2 10" xfId="638" xr:uid="{00000000-0005-0000-0000-000097010000}"/>
    <cellStyle name="Comma 5 3 2 2" xfId="639" xr:uid="{00000000-0005-0000-0000-000098010000}"/>
    <cellStyle name="Comma 5 3 2 3" xfId="640" xr:uid="{00000000-0005-0000-0000-000099010000}"/>
    <cellStyle name="Comma 5 3 2 4" xfId="641" xr:uid="{00000000-0005-0000-0000-00009A010000}"/>
    <cellStyle name="Comma 5 3 2 5" xfId="642" xr:uid="{00000000-0005-0000-0000-00009B010000}"/>
    <cellStyle name="Comma 5 3 2 6" xfId="643" xr:uid="{00000000-0005-0000-0000-00009C010000}"/>
    <cellStyle name="Comma 5 3 2 7" xfId="644" xr:uid="{00000000-0005-0000-0000-00009D010000}"/>
    <cellStyle name="Comma 5 3 2 8" xfId="645" xr:uid="{00000000-0005-0000-0000-00009E010000}"/>
    <cellStyle name="Comma 5 3 2 9" xfId="646" xr:uid="{00000000-0005-0000-0000-00009F010000}"/>
    <cellStyle name="Comma 5 3 3" xfId="647" xr:uid="{00000000-0005-0000-0000-0000A0010000}"/>
    <cellStyle name="Comma 5 3 4" xfId="648" xr:uid="{00000000-0005-0000-0000-0000A1010000}"/>
    <cellStyle name="Comma 5 3 5" xfId="649" xr:uid="{00000000-0005-0000-0000-0000A2010000}"/>
    <cellStyle name="Comma 5 3 6" xfId="650" xr:uid="{00000000-0005-0000-0000-0000A3010000}"/>
    <cellStyle name="Comma 5 3 7" xfId="651" xr:uid="{00000000-0005-0000-0000-0000A4010000}"/>
    <cellStyle name="Comma 5 3 8" xfId="652" xr:uid="{00000000-0005-0000-0000-0000A5010000}"/>
    <cellStyle name="Comma 5 3 9" xfId="653" xr:uid="{00000000-0005-0000-0000-0000A6010000}"/>
    <cellStyle name="Comma 5 4" xfId="126" xr:uid="{00000000-0005-0000-0000-0000A7010000}"/>
    <cellStyle name="Comma 5 5" xfId="127" xr:uid="{00000000-0005-0000-0000-0000A8010000}"/>
    <cellStyle name="Comma 5 6" xfId="128" xr:uid="{00000000-0005-0000-0000-0000A9010000}"/>
    <cellStyle name="Comma 5 7" xfId="129" xr:uid="{00000000-0005-0000-0000-0000AA010000}"/>
    <cellStyle name="Comma 5 8" xfId="130" xr:uid="{00000000-0005-0000-0000-0000AB010000}"/>
    <cellStyle name="Comma 5 9" xfId="131" xr:uid="{00000000-0005-0000-0000-0000AC010000}"/>
    <cellStyle name="Comma 6" xfId="132" xr:uid="{00000000-0005-0000-0000-0000AD010000}"/>
    <cellStyle name="Comma 6 10" xfId="654" xr:uid="{00000000-0005-0000-0000-0000AE010000}"/>
    <cellStyle name="Comma 6 11" xfId="655" xr:uid="{00000000-0005-0000-0000-0000AF010000}"/>
    <cellStyle name="Comma 6 12" xfId="656" xr:uid="{00000000-0005-0000-0000-0000B0010000}"/>
    <cellStyle name="Comma 6 13" xfId="657" xr:uid="{00000000-0005-0000-0000-0000B1010000}"/>
    <cellStyle name="Comma 6 14" xfId="658" xr:uid="{00000000-0005-0000-0000-0000B2010000}"/>
    <cellStyle name="Comma 6 15" xfId="659" xr:uid="{00000000-0005-0000-0000-0000B3010000}"/>
    <cellStyle name="Comma 6 16" xfId="660" xr:uid="{00000000-0005-0000-0000-0000B4010000}"/>
    <cellStyle name="Comma 6 17" xfId="661" xr:uid="{00000000-0005-0000-0000-0000B5010000}"/>
    <cellStyle name="Comma 6 18" xfId="662" xr:uid="{00000000-0005-0000-0000-0000B6010000}"/>
    <cellStyle name="Comma 6 2" xfId="27" xr:uid="{00000000-0005-0000-0000-0000B7010000}"/>
    <cellStyle name="Comma 6 2 10" xfId="663" xr:uid="{00000000-0005-0000-0000-0000B8010000}"/>
    <cellStyle name="Comma 6 2 11" xfId="664" xr:uid="{00000000-0005-0000-0000-0000B9010000}"/>
    <cellStyle name="Comma 6 2 12" xfId="665" xr:uid="{00000000-0005-0000-0000-0000BA010000}"/>
    <cellStyle name="Comma 6 2 2" xfId="133" xr:uid="{00000000-0005-0000-0000-0000BB010000}"/>
    <cellStyle name="Comma 6 2 2 10" xfId="666" xr:uid="{00000000-0005-0000-0000-0000BC010000}"/>
    <cellStyle name="Comma 6 2 2 11" xfId="667" xr:uid="{00000000-0005-0000-0000-0000BD010000}"/>
    <cellStyle name="Comma 6 2 2 2" xfId="668" xr:uid="{00000000-0005-0000-0000-0000BE010000}"/>
    <cellStyle name="Comma 6 2 2 2 10" xfId="669" xr:uid="{00000000-0005-0000-0000-0000BF010000}"/>
    <cellStyle name="Comma 6 2 2 2 2" xfId="670" xr:uid="{00000000-0005-0000-0000-0000C0010000}"/>
    <cellStyle name="Comma 6 2 2 2 3" xfId="671" xr:uid="{00000000-0005-0000-0000-0000C1010000}"/>
    <cellStyle name="Comma 6 2 2 2 4" xfId="672" xr:uid="{00000000-0005-0000-0000-0000C2010000}"/>
    <cellStyle name="Comma 6 2 2 2 5" xfId="673" xr:uid="{00000000-0005-0000-0000-0000C3010000}"/>
    <cellStyle name="Comma 6 2 2 2 6" xfId="674" xr:uid="{00000000-0005-0000-0000-0000C4010000}"/>
    <cellStyle name="Comma 6 2 2 2 7" xfId="675" xr:uid="{00000000-0005-0000-0000-0000C5010000}"/>
    <cellStyle name="Comma 6 2 2 2 8" xfId="676" xr:uid="{00000000-0005-0000-0000-0000C6010000}"/>
    <cellStyle name="Comma 6 2 2 2 9" xfId="677" xr:uid="{00000000-0005-0000-0000-0000C7010000}"/>
    <cellStyle name="Comma 6 2 2 3" xfId="678" xr:uid="{00000000-0005-0000-0000-0000C8010000}"/>
    <cellStyle name="Comma 6 2 2 4" xfId="679" xr:uid="{00000000-0005-0000-0000-0000C9010000}"/>
    <cellStyle name="Comma 6 2 2 5" xfId="680" xr:uid="{00000000-0005-0000-0000-0000CA010000}"/>
    <cellStyle name="Comma 6 2 2 6" xfId="681" xr:uid="{00000000-0005-0000-0000-0000CB010000}"/>
    <cellStyle name="Comma 6 2 2 7" xfId="682" xr:uid="{00000000-0005-0000-0000-0000CC010000}"/>
    <cellStyle name="Comma 6 2 2 8" xfId="683" xr:uid="{00000000-0005-0000-0000-0000CD010000}"/>
    <cellStyle name="Comma 6 2 2 9" xfId="684" xr:uid="{00000000-0005-0000-0000-0000CE010000}"/>
    <cellStyle name="Comma 6 2 3" xfId="685" xr:uid="{00000000-0005-0000-0000-0000CF010000}"/>
    <cellStyle name="Comma 6 2 3 10" xfId="686" xr:uid="{00000000-0005-0000-0000-0000D0010000}"/>
    <cellStyle name="Comma 6 2 3 2" xfId="687" xr:uid="{00000000-0005-0000-0000-0000D1010000}"/>
    <cellStyle name="Comma 6 2 3 3" xfId="688" xr:uid="{00000000-0005-0000-0000-0000D2010000}"/>
    <cellStyle name="Comma 6 2 3 4" xfId="689" xr:uid="{00000000-0005-0000-0000-0000D3010000}"/>
    <cellStyle name="Comma 6 2 3 5" xfId="690" xr:uid="{00000000-0005-0000-0000-0000D4010000}"/>
    <cellStyle name="Comma 6 2 3 6" xfId="691" xr:uid="{00000000-0005-0000-0000-0000D5010000}"/>
    <cellStyle name="Comma 6 2 3 7" xfId="692" xr:uid="{00000000-0005-0000-0000-0000D6010000}"/>
    <cellStyle name="Comma 6 2 3 8" xfId="693" xr:uid="{00000000-0005-0000-0000-0000D7010000}"/>
    <cellStyle name="Comma 6 2 3 9" xfId="694" xr:uid="{00000000-0005-0000-0000-0000D8010000}"/>
    <cellStyle name="Comma 6 2 4" xfId="695" xr:uid="{00000000-0005-0000-0000-0000D9010000}"/>
    <cellStyle name="Comma 6 2 5" xfId="696" xr:uid="{00000000-0005-0000-0000-0000DA010000}"/>
    <cellStyle name="Comma 6 2 6" xfId="697" xr:uid="{00000000-0005-0000-0000-0000DB010000}"/>
    <cellStyle name="Comma 6 2 7" xfId="698" xr:uid="{00000000-0005-0000-0000-0000DC010000}"/>
    <cellStyle name="Comma 6 2 8" xfId="699" xr:uid="{00000000-0005-0000-0000-0000DD010000}"/>
    <cellStyle name="Comma 6 2 9" xfId="700" xr:uid="{00000000-0005-0000-0000-0000DE010000}"/>
    <cellStyle name="Comma 6 3" xfId="134" xr:uid="{00000000-0005-0000-0000-0000DF010000}"/>
    <cellStyle name="Comma 6 3 10" xfId="701" xr:uid="{00000000-0005-0000-0000-0000E0010000}"/>
    <cellStyle name="Comma 6 3 11" xfId="702" xr:uid="{00000000-0005-0000-0000-0000E1010000}"/>
    <cellStyle name="Comma 6 3 2" xfId="703" xr:uid="{00000000-0005-0000-0000-0000E2010000}"/>
    <cellStyle name="Comma 6 3 2 10" xfId="704" xr:uid="{00000000-0005-0000-0000-0000E3010000}"/>
    <cellStyle name="Comma 6 3 2 2" xfId="705" xr:uid="{00000000-0005-0000-0000-0000E4010000}"/>
    <cellStyle name="Comma 6 3 2 3" xfId="706" xr:uid="{00000000-0005-0000-0000-0000E5010000}"/>
    <cellStyle name="Comma 6 3 2 4" xfId="707" xr:uid="{00000000-0005-0000-0000-0000E6010000}"/>
    <cellStyle name="Comma 6 3 2 5" xfId="708" xr:uid="{00000000-0005-0000-0000-0000E7010000}"/>
    <cellStyle name="Comma 6 3 2 6" xfId="709" xr:uid="{00000000-0005-0000-0000-0000E8010000}"/>
    <cellStyle name="Comma 6 3 2 7" xfId="710" xr:uid="{00000000-0005-0000-0000-0000E9010000}"/>
    <cellStyle name="Comma 6 3 2 8" xfId="711" xr:uid="{00000000-0005-0000-0000-0000EA010000}"/>
    <cellStyle name="Comma 6 3 2 9" xfId="712" xr:uid="{00000000-0005-0000-0000-0000EB010000}"/>
    <cellStyle name="Comma 6 3 3" xfId="713" xr:uid="{00000000-0005-0000-0000-0000EC010000}"/>
    <cellStyle name="Comma 6 3 4" xfId="714" xr:uid="{00000000-0005-0000-0000-0000ED010000}"/>
    <cellStyle name="Comma 6 3 5" xfId="715" xr:uid="{00000000-0005-0000-0000-0000EE010000}"/>
    <cellStyle name="Comma 6 3 6" xfId="716" xr:uid="{00000000-0005-0000-0000-0000EF010000}"/>
    <cellStyle name="Comma 6 3 7" xfId="717" xr:uid="{00000000-0005-0000-0000-0000F0010000}"/>
    <cellStyle name="Comma 6 3 8" xfId="718" xr:uid="{00000000-0005-0000-0000-0000F1010000}"/>
    <cellStyle name="Comma 6 3 9" xfId="719" xr:uid="{00000000-0005-0000-0000-0000F2010000}"/>
    <cellStyle name="Comma 6 4" xfId="135" xr:uid="{00000000-0005-0000-0000-0000F3010000}"/>
    <cellStyle name="Comma 6 4 10" xfId="720" xr:uid="{00000000-0005-0000-0000-0000F4010000}"/>
    <cellStyle name="Comma 6 4 11" xfId="721" xr:uid="{00000000-0005-0000-0000-0000F5010000}"/>
    <cellStyle name="Comma 6 4 2" xfId="722" xr:uid="{00000000-0005-0000-0000-0000F6010000}"/>
    <cellStyle name="Comma 6 4 2 10" xfId="723" xr:uid="{00000000-0005-0000-0000-0000F7010000}"/>
    <cellStyle name="Comma 6 4 2 2" xfId="724" xr:uid="{00000000-0005-0000-0000-0000F8010000}"/>
    <cellStyle name="Comma 6 4 2 3" xfId="725" xr:uid="{00000000-0005-0000-0000-0000F9010000}"/>
    <cellStyle name="Comma 6 4 2 4" xfId="726" xr:uid="{00000000-0005-0000-0000-0000FA010000}"/>
    <cellStyle name="Comma 6 4 2 5" xfId="727" xr:uid="{00000000-0005-0000-0000-0000FB010000}"/>
    <cellStyle name="Comma 6 4 2 6" xfId="728" xr:uid="{00000000-0005-0000-0000-0000FC010000}"/>
    <cellStyle name="Comma 6 4 2 7" xfId="729" xr:uid="{00000000-0005-0000-0000-0000FD010000}"/>
    <cellStyle name="Comma 6 4 2 8" xfId="730" xr:uid="{00000000-0005-0000-0000-0000FE010000}"/>
    <cellStyle name="Comma 6 4 2 9" xfId="731" xr:uid="{00000000-0005-0000-0000-0000FF010000}"/>
    <cellStyle name="Comma 6 4 3" xfId="732" xr:uid="{00000000-0005-0000-0000-000000020000}"/>
    <cellStyle name="Comma 6 4 4" xfId="733" xr:uid="{00000000-0005-0000-0000-000001020000}"/>
    <cellStyle name="Comma 6 4 5" xfId="734" xr:uid="{00000000-0005-0000-0000-000002020000}"/>
    <cellStyle name="Comma 6 4 6" xfId="735" xr:uid="{00000000-0005-0000-0000-000003020000}"/>
    <cellStyle name="Comma 6 4 7" xfId="736" xr:uid="{00000000-0005-0000-0000-000004020000}"/>
    <cellStyle name="Comma 6 4 8" xfId="737" xr:uid="{00000000-0005-0000-0000-000005020000}"/>
    <cellStyle name="Comma 6 4 9" xfId="738" xr:uid="{00000000-0005-0000-0000-000006020000}"/>
    <cellStyle name="Comma 6 5" xfId="136" xr:uid="{00000000-0005-0000-0000-000007020000}"/>
    <cellStyle name="Comma 6 5 10" xfId="739" xr:uid="{00000000-0005-0000-0000-000008020000}"/>
    <cellStyle name="Comma 6 5 11" xfId="740" xr:uid="{00000000-0005-0000-0000-000009020000}"/>
    <cellStyle name="Comma 6 5 2" xfId="741" xr:uid="{00000000-0005-0000-0000-00000A020000}"/>
    <cellStyle name="Comma 6 5 2 10" xfId="742" xr:uid="{00000000-0005-0000-0000-00000B020000}"/>
    <cellStyle name="Comma 6 5 2 2" xfId="743" xr:uid="{00000000-0005-0000-0000-00000C020000}"/>
    <cellStyle name="Comma 6 5 2 3" xfId="744" xr:uid="{00000000-0005-0000-0000-00000D020000}"/>
    <cellStyle name="Comma 6 5 2 4" xfId="745" xr:uid="{00000000-0005-0000-0000-00000E020000}"/>
    <cellStyle name="Comma 6 5 2 5" xfId="746" xr:uid="{00000000-0005-0000-0000-00000F020000}"/>
    <cellStyle name="Comma 6 5 2 6" xfId="747" xr:uid="{00000000-0005-0000-0000-000010020000}"/>
    <cellStyle name="Comma 6 5 2 7" xfId="748" xr:uid="{00000000-0005-0000-0000-000011020000}"/>
    <cellStyle name="Comma 6 5 2 8" xfId="749" xr:uid="{00000000-0005-0000-0000-000012020000}"/>
    <cellStyle name="Comma 6 5 2 9" xfId="750" xr:uid="{00000000-0005-0000-0000-000013020000}"/>
    <cellStyle name="Comma 6 5 3" xfId="751" xr:uid="{00000000-0005-0000-0000-000014020000}"/>
    <cellStyle name="Comma 6 5 4" xfId="752" xr:uid="{00000000-0005-0000-0000-000015020000}"/>
    <cellStyle name="Comma 6 5 5" xfId="753" xr:uid="{00000000-0005-0000-0000-000016020000}"/>
    <cellStyle name="Comma 6 5 6" xfId="754" xr:uid="{00000000-0005-0000-0000-000017020000}"/>
    <cellStyle name="Comma 6 5 7" xfId="755" xr:uid="{00000000-0005-0000-0000-000018020000}"/>
    <cellStyle name="Comma 6 5 8" xfId="756" xr:uid="{00000000-0005-0000-0000-000019020000}"/>
    <cellStyle name="Comma 6 5 9" xfId="757" xr:uid="{00000000-0005-0000-0000-00001A020000}"/>
    <cellStyle name="Comma 6 6" xfId="137" xr:uid="{00000000-0005-0000-0000-00001B020000}"/>
    <cellStyle name="Comma 6 6 10" xfId="758" xr:uid="{00000000-0005-0000-0000-00001C020000}"/>
    <cellStyle name="Comma 6 6 11" xfId="759" xr:uid="{00000000-0005-0000-0000-00001D020000}"/>
    <cellStyle name="Comma 6 6 2" xfId="760" xr:uid="{00000000-0005-0000-0000-00001E020000}"/>
    <cellStyle name="Comma 6 6 2 10" xfId="761" xr:uid="{00000000-0005-0000-0000-00001F020000}"/>
    <cellStyle name="Comma 6 6 2 2" xfId="762" xr:uid="{00000000-0005-0000-0000-000020020000}"/>
    <cellStyle name="Comma 6 6 2 3" xfId="763" xr:uid="{00000000-0005-0000-0000-000021020000}"/>
    <cellStyle name="Comma 6 6 2 4" xfId="764" xr:uid="{00000000-0005-0000-0000-000022020000}"/>
    <cellStyle name="Comma 6 6 2 5" xfId="765" xr:uid="{00000000-0005-0000-0000-000023020000}"/>
    <cellStyle name="Comma 6 6 2 6" xfId="766" xr:uid="{00000000-0005-0000-0000-000024020000}"/>
    <cellStyle name="Comma 6 6 2 7" xfId="767" xr:uid="{00000000-0005-0000-0000-000025020000}"/>
    <cellStyle name="Comma 6 6 2 8" xfId="768" xr:uid="{00000000-0005-0000-0000-000026020000}"/>
    <cellStyle name="Comma 6 6 2 9" xfId="769" xr:uid="{00000000-0005-0000-0000-000027020000}"/>
    <cellStyle name="Comma 6 6 3" xfId="770" xr:uid="{00000000-0005-0000-0000-000028020000}"/>
    <cellStyle name="Comma 6 6 4" xfId="771" xr:uid="{00000000-0005-0000-0000-000029020000}"/>
    <cellStyle name="Comma 6 6 5" xfId="772" xr:uid="{00000000-0005-0000-0000-00002A020000}"/>
    <cellStyle name="Comma 6 6 6" xfId="773" xr:uid="{00000000-0005-0000-0000-00002B020000}"/>
    <cellStyle name="Comma 6 6 7" xfId="774" xr:uid="{00000000-0005-0000-0000-00002C020000}"/>
    <cellStyle name="Comma 6 6 8" xfId="775" xr:uid="{00000000-0005-0000-0000-00002D020000}"/>
    <cellStyle name="Comma 6 6 9" xfId="776" xr:uid="{00000000-0005-0000-0000-00002E020000}"/>
    <cellStyle name="Comma 6 7" xfId="138" xr:uid="{00000000-0005-0000-0000-00002F020000}"/>
    <cellStyle name="Comma 6 7 10" xfId="777" xr:uid="{00000000-0005-0000-0000-000030020000}"/>
    <cellStyle name="Comma 6 7 11" xfId="778" xr:uid="{00000000-0005-0000-0000-000031020000}"/>
    <cellStyle name="Comma 6 7 2" xfId="779" xr:uid="{00000000-0005-0000-0000-000032020000}"/>
    <cellStyle name="Comma 6 7 2 10" xfId="780" xr:uid="{00000000-0005-0000-0000-000033020000}"/>
    <cellStyle name="Comma 6 7 2 2" xfId="781" xr:uid="{00000000-0005-0000-0000-000034020000}"/>
    <cellStyle name="Comma 6 7 2 3" xfId="782" xr:uid="{00000000-0005-0000-0000-000035020000}"/>
    <cellStyle name="Comma 6 7 2 4" xfId="783" xr:uid="{00000000-0005-0000-0000-000036020000}"/>
    <cellStyle name="Comma 6 7 2 5" xfId="784" xr:uid="{00000000-0005-0000-0000-000037020000}"/>
    <cellStyle name="Comma 6 7 2 6" xfId="785" xr:uid="{00000000-0005-0000-0000-000038020000}"/>
    <cellStyle name="Comma 6 7 2 7" xfId="786" xr:uid="{00000000-0005-0000-0000-000039020000}"/>
    <cellStyle name="Comma 6 7 2 8" xfId="787" xr:uid="{00000000-0005-0000-0000-00003A020000}"/>
    <cellStyle name="Comma 6 7 2 9" xfId="788" xr:uid="{00000000-0005-0000-0000-00003B020000}"/>
    <cellStyle name="Comma 6 7 3" xfId="789" xr:uid="{00000000-0005-0000-0000-00003C020000}"/>
    <cellStyle name="Comma 6 7 4" xfId="790" xr:uid="{00000000-0005-0000-0000-00003D020000}"/>
    <cellStyle name="Comma 6 7 5" xfId="791" xr:uid="{00000000-0005-0000-0000-00003E020000}"/>
    <cellStyle name="Comma 6 7 6" xfId="792" xr:uid="{00000000-0005-0000-0000-00003F020000}"/>
    <cellStyle name="Comma 6 7 7" xfId="793" xr:uid="{00000000-0005-0000-0000-000040020000}"/>
    <cellStyle name="Comma 6 7 8" xfId="794" xr:uid="{00000000-0005-0000-0000-000041020000}"/>
    <cellStyle name="Comma 6 7 9" xfId="795" xr:uid="{00000000-0005-0000-0000-000042020000}"/>
    <cellStyle name="Comma 6 8" xfId="139" xr:uid="{00000000-0005-0000-0000-000043020000}"/>
    <cellStyle name="Comma 6 8 10" xfId="796" xr:uid="{00000000-0005-0000-0000-000044020000}"/>
    <cellStyle name="Comma 6 8 11" xfId="797" xr:uid="{00000000-0005-0000-0000-000045020000}"/>
    <cellStyle name="Comma 6 8 2" xfId="798" xr:uid="{00000000-0005-0000-0000-000046020000}"/>
    <cellStyle name="Comma 6 8 2 10" xfId="799" xr:uid="{00000000-0005-0000-0000-000047020000}"/>
    <cellStyle name="Comma 6 8 2 2" xfId="800" xr:uid="{00000000-0005-0000-0000-000048020000}"/>
    <cellStyle name="Comma 6 8 2 3" xfId="801" xr:uid="{00000000-0005-0000-0000-000049020000}"/>
    <cellStyle name="Comma 6 8 2 4" xfId="802" xr:uid="{00000000-0005-0000-0000-00004A020000}"/>
    <cellStyle name="Comma 6 8 2 5" xfId="803" xr:uid="{00000000-0005-0000-0000-00004B020000}"/>
    <cellStyle name="Comma 6 8 2 6" xfId="804" xr:uid="{00000000-0005-0000-0000-00004C020000}"/>
    <cellStyle name="Comma 6 8 2 7" xfId="805" xr:uid="{00000000-0005-0000-0000-00004D020000}"/>
    <cellStyle name="Comma 6 8 2 8" xfId="806" xr:uid="{00000000-0005-0000-0000-00004E020000}"/>
    <cellStyle name="Comma 6 8 2 9" xfId="807" xr:uid="{00000000-0005-0000-0000-00004F020000}"/>
    <cellStyle name="Comma 6 8 3" xfId="808" xr:uid="{00000000-0005-0000-0000-000050020000}"/>
    <cellStyle name="Comma 6 8 4" xfId="809" xr:uid="{00000000-0005-0000-0000-000051020000}"/>
    <cellStyle name="Comma 6 8 5" xfId="810" xr:uid="{00000000-0005-0000-0000-000052020000}"/>
    <cellStyle name="Comma 6 8 6" xfId="811" xr:uid="{00000000-0005-0000-0000-000053020000}"/>
    <cellStyle name="Comma 6 8 7" xfId="812" xr:uid="{00000000-0005-0000-0000-000054020000}"/>
    <cellStyle name="Comma 6 8 8" xfId="813" xr:uid="{00000000-0005-0000-0000-000055020000}"/>
    <cellStyle name="Comma 6 8 9" xfId="814" xr:uid="{00000000-0005-0000-0000-000056020000}"/>
    <cellStyle name="Comma 6 9" xfId="815" xr:uid="{00000000-0005-0000-0000-000057020000}"/>
    <cellStyle name="Comma 6 9 10" xfId="816" xr:uid="{00000000-0005-0000-0000-000058020000}"/>
    <cellStyle name="Comma 6 9 2" xfId="817" xr:uid="{00000000-0005-0000-0000-000059020000}"/>
    <cellStyle name="Comma 6 9 3" xfId="818" xr:uid="{00000000-0005-0000-0000-00005A020000}"/>
    <cellStyle name="Comma 6 9 4" xfId="819" xr:uid="{00000000-0005-0000-0000-00005B020000}"/>
    <cellStyle name="Comma 6 9 5" xfId="820" xr:uid="{00000000-0005-0000-0000-00005C020000}"/>
    <cellStyle name="Comma 6 9 6" xfId="821" xr:uid="{00000000-0005-0000-0000-00005D020000}"/>
    <cellStyle name="Comma 6 9 7" xfId="822" xr:uid="{00000000-0005-0000-0000-00005E020000}"/>
    <cellStyle name="Comma 6 9 8" xfId="823" xr:uid="{00000000-0005-0000-0000-00005F020000}"/>
    <cellStyle name="Comma 6 9 9" xfId="824" xr:uid="{00000000-0005-0000-0000-000060020000}"/>
    <cellStyle name="Comma 7" xfId="140" xr:uid="{00000000-0005-0000-0000-000061020000}"/>
    <cellStyle name="Comma 7 10" xfId="825" xr:uid="{00000000-0005-0000-0000-000062020000}"/>
    <cellStyle name="Comma 7 11" xfId="826" xr:uid="{00000000-0005-0000-0000-000063020000}"/>
    <cellStyle name="Comma 7 12" xfId="827" xr:uid="{00000000-0005-0000-0000-000064020000}"/>
    <cellStyle name="Comma 7 13" xfId="828" xr:uid="{00000000-0005-0000-0000-000065020000}"/>
    <cellStyle name="Comma 7 14" xfId="829" xr:uid="{00000000-0005-0000-0000-000066020000}"/>
    <cellStyle name="Comma 7 15" xfId="830" xr:uid="{00000000-0005-0000-0000-000067020000}"/>
    <cellStyle name="Comma 7 16" xfId="831" xr:uid="{00000000-0005-0000-0000-000068020000}"/>
    <cellStyle name="Comma 7 17" xfId="832" xr:uid="{00000000-0005-0000-0000-000069020000}"/>
    <cellStyle name="Comma 7 18" xfId="833" xr:uid="{00000000-0005-0000-0000-00006A020000}"/>
    <cellStyle name="Comma 7 2" xfId="141" xr:uid="{00000000-0005-0000-0000-00006B020000}"/>
    <cellStyle name="Comma 7 2 10" xfId="834" xr:uid="{00000000-0005-0000-0000-00006C020000}"/>
    <cellStyle name="Comma 7 2 11" xfId="835" xr:uid="{00000000-0005-0000-0000-00006D020000}"/>
    <cellStyle name="Comma 7 2 2" xfId="836" xr:uid="{00000000-0005-0000-0000-00006E020000}"/>
    <cellStyle name="Comma 7 2 2 10" xfId="837" xr:uid="{00000000-0005-0000-0000-00006F020000}"/>
    <cellStyle name="Comma 7 2 2 2" xfId="838" xr:uid="{00000000-0005-0000-0000-000070020000}"/>
    <cellStyle name="Comma 7 2 2 3" xfId="839" xr:uid="{00000000-0005-0000-0000-000071020000}"/>
    <cellStyle name="Comma 7 2 2 4" xfId="840" xr:uid="{00000000-0005-0000-0000-000072020000}"/>
    <cellStyle name="Comma 7 2 2 5" xfId="841" xr:uid="{00000000-0005-0000-0000-000073020000}"/>
    <cellStyle name="Comma 7 2 2 6" xfId="842" xr:uid="{00000000-0005-0000-0000-000074020000}"/>
    <cellStyle name="Comma 7 2 2 7" xfId="843" xr:uid="{00000000-0005-0000-0000-000075020000}"/>
    <cellStyle name="Comma 7 2 2 8" xfId="844" xr:uid="{00000000-0005-0000-0000-000076020000}"/>
    <cellStyle name="Comma 7 2 2 9" xfId="845" xr:uid="{00000000-0005-0000-0000-000077020000}"/>
    <cellStyle name="Comma 7 2 3" xfId="846" xr:uid="{00000000-0005-0000-0000-000078020000}"/>
    <cellStyle name="Comma 7 2 4" xfId="847" xr:uid="{00000000-0005-0000-0000-000079020000}"/>
    <cellStyle name="Comma 7 2 5" xfId="848" xr:uid="{00000000-0005-0000-0000-00007A020000}"/>
    <cellStyle name="Comma 7 2 6" xfId="849" xr:uid="{00000000-0005-0000-0000-00007B020000}"/>
    <cellStyle name="Comma 7 2 7" xfId="850" xr:uid="{00000000-0005-0000-0000-00007C020000}"/>
    <cellStyle name="Comma 7 2 8" xfId="851" xr:uid="{00000000-0005-0000-0000-00007D020000}"/>
    <cellStyle name="Comma 7 2 9" xfId="852" xr:uid="{00000000-0005-0000-0000-00007E020000}"/>
    <cellStyle name="Comma 7 3" xfId="142" xr:uid="{00000000-0005-0000-0000-00007F020000}"/>
    <cellStyle name="Comma 7 3 10" xfId="853" xr:uid="{00000000-0005-0000-0000-000080020000}"/>
    <cellStyle name="Comma 7 3 11" xfId="854" xr:uid="{00000000-0005-0000-0000-000081020000}"/>
    <cellStyle name="Comma 7 3 2" xfId="855" xr:uid="{00000000-0005-0000-0000-000082020000}"/>
    <cellStyle name="Comma 7 3 2 10" xfId="856" xr:uid="{00000000-0005-0000-0000-000083020000}"/>
    <cellStyle name="Comma 7 3 2 2" xfId="857" xr:uid="{00000000-0005-0000-0000-000084020000}"/>
    <cellStyle name="Comma 7 3 2 3" xfId="858" xr:uid="{00000000-0005-0000-0000-000085020000}"/>
    <cellStyle name="Comma 7 3 2 4" xfId="859" xr:uid="{00000000-0005-0000-0000-000086020000}"/>
    <cellStyle name="Comma 7 3 2 5" xfId="860" xr:uid="{00000000-0005-0000-0000-000087020000}"/>
    <cellStyle name="Comma 7 3 2 6" xfId="861" xr:uid="{00000000-0005-0000-0000-000088020000}"/>
    <cellStyle name="Comma 7 3 2 7" xfId="862" xr:uid="{00000000-0005-0000-0000-000089020000}"/>
    <cellStyle name="Comma 7 3 2 8" xfId="863" xr:uid="{00000000-0005-0000-0000-00008A020000}"/>
    <cellStyle name="Comma 7 3 2 9" xfId="864" xr:uid="{00000000-0005-0000-0000-00008B020000}"/>
    <cellStyle name="Comma 7 3 3" xfId="865" xr:uid="{00000000-0005-0000-0000-00008C020000}"/>
    <cellStyle name="Comma 7 3 4" xfId="866" xr:uid="{00000000-0005-0000-0000-00008D020000}"/>
    <cellStyle name="Comma 7 3 5" xfId="867" xr:uid="{00000000-0005-0000-0000-00008E020000}"/>
    <cellStyle name="Comma 7 3 6" xfId="868" xr:uid="{00000000-0005-0000-0000-00008F020000}"/>
    <cellStyle name="Comma 7 3 7" xfId="869" xr:uid="{00000000-0005-0000-0000-000090020000}"/>
    <cellStyle name="Comma 7 3 8" xfId="870" xr:uid="{00000000-0005-0000-0000-000091020000}"/>
    <cellStyle name="Comma 7 3 9" xfId="871" xr:uid="{00000000-0005-0000-0000-000092020000}"/>
    <cellStyle name="Comma 7 4" xfId="143" xr:uid="{00000000-0005-0000-0000-000093020000}"/>
    <cellStyle name="Comma 7 4 10" xfId="872" xr:uid="{00000000-0005-0000-0000-000094020000}"/>
    <cellStyle name="Comma 7 4 11" xfId="873" xr:uid="{00000000-0005-0000-0000-000095020000}"/>
    <cellStyle name="Comma 7 4 2" xfId="874" xr:uid="{00000000-0005-0000-0000-000096020000}"/>
    <cellStyle name="Comma 7 4 2 10" xfId="875" xr:uid="{00000000-0005-0000-0000-000097020000}"/>
    <cellStyle name="Comma 7 4 2 2" xfId="876" xr:uid="{00000000-0005-0000-0000-000098020000}"/>
    <cellStyle name="Comma 7 4 2 3" xfId="877" xr:uid="{00000000-0005-0000-0000-000099020000}"/>
    <cellStyle name="Comma 7 4 2 4" xfId="878" xr:uid="{00000000-0005-0000-0000-00009A020000}"/>
    <cellStyle name="Comma 7 4 2 5" xfId="879" xr:uid="{00000000-0005-0000-0000-00009B020000}"/>
    <cellStyle name="Comma 7 4 2 6" xfId="880" xr:uid="{00000000-0005-0000-0000-00009C020000}"/>
    <cellStyle name="Comma 7 4 2 7" xfId="881" xr:uid="{00000000-0005-0000-0000-00009D020000}"/>
    <cellStyle name="Comma 7 4 2 8" xfId="882" xr:uid="{00000000-0005-0000-0000-00009E020000}"/>
    <cellStyle name="Comma 7 4 2 9" xfId="883" xr:uid="{00000000-0005-0000-0000-00009F020000}"/>
    <cellStyle name="Comma 7 4 3" xfId="884" xr:uid="{00000000-0005-0000-0000-0000A0020000}"/>
    <cellStyle name="Comma 7 4 4" xfId="885" xr:uid="{00000000-0005-0000-0000-0000A1020000}"/>
    <cellStyle name="Comma 7 4 5" xfId="886" xr:uid="{00000000-0005-0000-0000-0000A2020000}"/>
    <cellStyle name="Comma 7 4 6" xfId="887" xr:uid="{00000000-0005-0000-0000-0000A3020000}"/>
    <cellStyle name="Comma 7 4 7" xfId="888" xr:uid="{00000000-0005-0000-0000-0000A4020000}"/>
    <cellStyle name="Comma 7 4 8" xfId="889" xr:uid="{00000000-0005-0000-0000-0000A5020000}"/>
    <cellStyle name="Comma 7 4 9" xfId="890" xr:uid="{00000000-0005-0000-0000-0000A6020000}"/>
    <cellStyle name="Comma 7 5" xfId="144" xr:uid="{00000000-0005-0000-0000-0000A7020000}"/>
    <cellStyle name="Comma 7 5 10" xfId="891" xr:uid="{00000000-0005-0000-0000-0000A8020000}"/>
    <cellStyle name="Comma 7 5 11" xfId="892" xr:uid="{00000000-0005-0000-0000-0000A9020000}"/>
    <cellStyle name="Comma 7 5 2" xfId="893" xr:uid="{00000000-0005-0000-0000-0000AA020000}"/>
    <cellStyle name="Comma 7 5 2 10" xfId="894" xr:uid="{00000000-0005-0000-0000-0000AB020000}"/>
    <cellStyle name="Comma 7 5 2 2" xfId="895" xr:uid="{00000000-0005-0000-0000-0000AC020000}"/>
    <cellStyle name="Comma 7 5 2 3" xfId="896" xr:uid="{00000000-0005-0000-0000-0000AD020000}"/>
    <cellStyle name="Comma 7 5 2 4" xfId="897" xr:uid="{00000000-0005-0000-0000-0000AE020000}"/>
    <cellStyle name="Comma 7 5 2 5" xfId="898" xr:uid="{00000000-0005-0000-0000-0000AF020000}"/>
    <cellStyle name="Comma 7 5 2 6" xfId="899" xr:uid="{00000000-0005-0000-0000-0000B0020000}"/>
    <cellStyle name="Comma 7 5 2 7" xfId="900" xr:uid="{00000000-0005-0000-0000-0000B1020000}"/>
    <cellStyle name="Comma 7 5 2 8" xfId="901" xr:uid="{00000000-0005-0000-0000-0000B2020000}"/>
    <cellStyle name="Comma 7 5 2 9" xfId="902" xr:uid="{00000000-0005-0000-0000-0000B3020000}"/>
    <cellStyle name="Comma 7 5 3" xfId="903" xr:uid="{00000000-0005-0000-0000-0000B4020000}"/>
    <cellStyle name="Comma 7 5 4" xfId="904" xr:uid="{00000000-0005-0000-0000-0000B5020000}"/>
    <cellStyle name="Comma 7 5 5" xfId="905" xr:uid="{00000000-0005-0000-0000-0000B6020000}"/>
    <cellStyle name="Comma 7 5 6" xfId="906" xr:uid="{00000000-0005-0000-0000-0000B7020000}"/>
    <cellStyle name="Comma 7 5 7" xfId="907" xr:uid="{00000000-0005-0000-0000-0000B8020000}"/>
    <cellStyle name="Comma 7 5 8" xfId="908" xr:uid="{00000000-0005-0000-0000-0000B9020000}"/>
    <cellStyle name="Comma 7 5 9" xfId="909" xr:uid="{00000000-0005-0000-0000-0000BA020000}"/>
    <cellStyle name="Comma 7 6" xfId="145" xr:uid="{00000000-0005-0000-0000-0000BB020000}"/>
    <cellStyle name="Comma 7 6 10" xfId="910" xr:uid="{00000000-0005-0000-0000-0000BC020000}"/>
    <cellStyle name="Comma 7 6 11" xfId="911" xr:uid="{00000000-0005-0000-0000-0000BD020000}"/>
    <cellStyle name="Comma 7 6 2" xfId="912" xr:uid="{00000000-0005-0000-0000-0000BE020000}"/>
    <cellStyle name="Comma 7 6 2 10" xfId="913" xr:uid="{00000000-0005-0000-0000-0000BF020000}"/>
    <cellStyle name="Comma 7 6 2 2" xfId="914" xr:uid="{00000000-0005-0000-0000-0000C0020000}"/>
    <cellStyle name="Comma 7 6 2 3" xfId="915" xr:uid="{00000000-0005-0000-0000-0000C1020000}"/>
    <cellStyle name="Comma 7 6 2 4" xfId="916" xr:uid="{00000000-0005-0000-0000-0000C2020000}"/>
    <cellStyle name="Comma 7 6 2 5" xfId="917" xr:uid="{00000000-0005-0000-0000-0000C3020000}"/>
    <cellStyle name="Comma 7 6 2 6" xfId="918" xr:uid="{00000000-0005-0000-0000-0000C4020000}"/>
    <cellStyle name="Comma 7 6 2 7" xfId="919" xr:uid="{00000000-0005-0000-0000-0000C5020000}"/>
    <cellStyle name="Comma 7 6 2 8" xfId="920" xr:uid="{00000000-0005-0000-0000-0000C6020000}"/>
    <cellStyle name="Comma 7 6 2 9" xfId="921" xr:uid="{00000000-0005-0000-0000-0000C7020000}"/>
    <cellStyle name="Comma 7 6 3" xfId="922" xr:uid="{00000000-0005-0000-0000-0000C8020000}"/>
    <cellStyle name="Comma 7 6 4" xfId="923" xr:uid="{00000000-0005-0000-0000-0000C9020000}"/>
    <cellStyle name="Comma 7 6 5" xfId="924" xr:uid="{00000000-0005-0000-0000-0000CA020000}"/>
    <cellStyle name="Comma 7 6 6" xfId="925" xr:uid="{00000000-0005-0000-0000-0000CB020000}"/>
    <cellStyle name="Comma 7 6 7" xfId="926" xr:uid="{00000000-0005-0000-0000-0000CC020000}"/>
    <cellStyle name="Comma 7 6 8" xfId="927" xr:uid="{00000000-0005-0000-0000-0000CD020000}"/>
    <cellStyle name="Comma 7 6 9" xfId="928" xr:uid="{00000000-0005-0000-0000-0000CE020000}"/>
    <cellStyle name="Comma 7 7" xfId="146" xr:uid="{00000000-0005-0000-0000-0000CF020000}"/>
    <cellStyle name="Comma 7 7 10" xfId="929" xr:uid="{00000000-0005-0000-0000-0000D0020000}"/>
    <cellStyle name="Comma 7 7 11" xfId="930" xr:uid="{00000000-0005-0000-0000-0000D1020000}"/>
    <cellStyle name="Comma 7 7 2" xfId="931" xr:uid="{00000000-0005-0000-0000-0000D2020000}"/>
    <cellStyle name="Comma 7 7 2 10" xfId="932" xr:uid="{00000000-0005-0000-0000-0000D3020000}"/>
    <cellStyle name="Comma 7 7 2 2" xfId="933" xr:uid="{00000000-0005-0000-0000-0000D4020000}"/>
    <cellStyle name="Comma 7 7 2 3" xfId="934" xr:uid="{00000000-0005-0000-0000-0000D5020000}"/>
    <cellStyle name="Comma 7 7 2 4" xfId="935" xr:uid="{00000000-0005-0000-0000-0000D6020000}"/>
    <cellStyle name="Comma 7 7 2 5" xfId="936" xr:uid="{00000000-0005-0000-0000-0000D7020000}"/>
    <cellStyle name="Comma 7 7 2 6" xfId="937" xr:uid="{00000000-0005-0000-0000-0000D8020000}"/>
    <cellStyle name="Comma 7 7 2 7" xfId="938" xr:uid="{00000000-0005-0000-0000-0000D9020000}"/>
    <cellStyle name="Comma 7 7 2 8" xfId="939" xr:uid="{00000000-0005-0000-0000-0000DA020000}"/>
    <cellStyle name="Comma 7 7 2 9" xfId="940" xr:uid="{00000000-0005-0000-0000-0000DB020000}"/>
    <cellStyle name="Comma 7 7 3" xfId="941" xr:uid="{00000000-0005-0000-0000-0000DC020000}"/>
    <cellStyle name="Comma 7 7 4" xfId="942" xr:uid="{00000000-0005-0000-0000-0000DD020000}"/>
    <cellStyle name="Comma 7 7 5" xfId="943" xr:uid="{00000000-0005-0000-0000-0000DE020000}"/>
    <cellStyle name="Comma 7 7 6" xfId="944" xr:uid="{00000000-0005-0000-0000-0000DF020000}"/>
    <cellStyle name="Comma 7 7 7" xfId="945" xr:uid="{00000000-0005-0000-0000-0000E0020000}"/>
    <cellStyle name="Comma 7 7 8" xfId="946" xr:uid="{00000000-0005-0000-0000-0000E1020000}"/>
    <cellStyle name="Comma 7 7 9" xfId="947" xr:uid="{00000000-0005-0000-0000-0000E2020000}"/>
    <cellStyle name="Comma 7 8" xfId="147" xr:uid="{00000000-0005-0000-0000-0000E3020000}"/>
    <cellStyle name="Comma 7 8 10" xfId="948" xr:uid="{00000000-0005-0000-0000-0000E4020000}"/>
    <cellStyle name="Comma 7 8 11" xfId="949" xr:uid="{00000000-0005-0000-0000-0000E5020000}"/>
    <cellStyle name="Comma 7 8 2" xfId="950" xr:uid="{00000000-0005-0000-0000-0000E6020000}"/>
    <cellStyle name="Comma 7 8 2 10" xfId="951" xr:uid="{00000000-0005-0000-0000-0000E7020000}"/>
    <cellStyle name="Comma 7 8 2 2" xfId="952" xr:uid="{00000000-0005-0000-0000-0000E8020000}"/>
    <cellStyle name="Comma 7 8 2 3" xfId="953" xr:uid="{00000000-0005-0000-0000-0000E9020000}"/>
    <cellStyle name="Comma 7 8 2 4" xfId="954" xr:uid="{00000000-0005-0000-0000-0000EA020000}"/>
    <cellStyle name="Comma 7 8 2 5" xfId="955" xr:uid="{00000000-0005-0000-0000-0000EB020000}"/>
    <cellStyle name="Comma 7 8 2 6" xfId="956" xr:uid="{00000000-0005-0000-0000-0000EC020000}"/>
    <cellStyle name="Comma 7 8 2 7" xfId="957" xr:uid="{00000000-0005-0000-0000-0000ED020000}"/>
    <cellStyle name="Comma 7 8 2 8" xfId="958" xr:uid="{00000000-0005-0000-0000-0000EE020000}"/>
    <cellStyle name="Comma 7 8 2 9" xfId="959" xr:uid="{00000000-0005-0000-0000-0000EF020000}"/>
    <cellStyle name="Comma 7 8 3" xfId="960" xr:uid="{00000000-0005-0000-0000-0000F0020000}"/>
    <cellStyle name="Comma 7 8 4" xfId="961" xr:uid="{00000000-0005-0000-0000-0000F1020000}"/>
    <cellStyle name="Comma 7 8 5" xfId="962" xr:uid="{00000000-0005-0000-0000-0000F2020000}"/>
    <cellStyle name="Comma 7 8 6" xfId="963" xr:uid="{00000000-0005-0000-0000-0000F3020000}"/>
    <cellStyle name="Comma 7 8 7" xfId="964" xr:uid="{00000000-0005-0000-0000-0000F4020000}"/>
    <cellStyle name="Comma 7 8 8" xfId="965" xr:uid="{00000000-0005-0000-0000-0000F5020000}"/>
    <cellStyle name="Comma 7 8 9" xfId="966" xr:uid="{00000000-0005-0000-0000-0000F6020000}"/>
    <cellStyle name="Comma 7 9" xfId="967" xr:uid="{00000000-0005-0000-0000-0000F7020000}"/>
    <cellStyle name="Comma 7 9 10" xfId="968" xr:uid="{00000000-0005-0000-0000-0000F8020000}"/>
    <cellStyle name="Comma 7 9 2" xfId="969" xr:uid="{00000000-0005-0000-0000-0000F9020000}"/>
    <cellStyle name="Comma 7 9 3" xfId="970" xr:uid="{00000000-0005-0000-0000-0000FA020000}"/>
    <cellStyle name="Comma 7 9 4" xfId="971" xr:uid="{00000000-0005-0000-0000-0000FB020000}"/>
    <cellStyle name="Comma 7 9 5" xfId="972" xr:uid="{00000000-0005-0000-0000-0000FC020000}"/>
    <cellStyle name="Comma 7 9 6" xfId="973" xr:uid="{00000000-0005-0000-0000-0000FD020000}"/>
    <cellStyle name="Comma 7 9 7" xfId="974" xr:uid="{00000000-0005-0000-0000-0000FE020000}"/>
    <cellStyle name="Comma 7 9 8" xfId="975" xr:uid="{00000000-0005-0000-0000-0000FF020000}"/>
    <cellStyle name="Comma 7 9 9" xfId="976" xr:uid="{00000000-0005-0000-0000-000000030000}"/>
    <cellStyle name="Comma 8" xfId="148" xr:uid="{00000000-0005-0000-0000-000001030000}"/>
    <cellStyle name="Comma 8 10" xfId="977" xr:uid="{00000000-0005-0000-0000-000002030000}"/>
    <cellStyle name="Comma 8 11" xfId="978" xr:uid="{00000000-0005-0000-0000-000003030000}"/>
    <cellStyle name="Comma 8 12" xfId="979" xr:uid="{00000000-0005-0000-0000-000004030000}"/>
    <cellStyle name="Comma 8 13" xfId="980" xr:uid="{00000000-0005-0000-0000-000005030000}"/>
    <cellStyle name="Comma 8 14" xfId="981" xr:uid="{00000000-0005-0000-0000-000006030000}"/>
    <cellStyle name="Comma 8 15" xfId="982" xr:uid="{00000000-0005-0000-0000-000007030000}"/>
    <cellStyle name="Comma 8 16" xfId="983" xr:uid="{00000000-0005-0000-0000-000008030000}"/>
    <cellStyle name="Comma 8 17" xfId="984" xr:uid="{00000000-0005-0000-0000-000009030000}"/>
    <cellStyle name="Comma 8 18" xfId="985" xr:uid="{00000000-0005-0000-0000-00000A030000}"/>
    <cellStyle name="Comma 8 2" xfId="149" xr:uid="{00000000-0005-0000-0000-00000B030000}"/>
    <cellStyle name="Comma 8 2 10" xfId="986" xr:uid="{00000000-0005-0000-0000-00000C030000}"/>
    <cellStyle name="Comma 8 2 11" xfId="987" xr:uid="{00000000-0005-0000-0000-00000D030000}"/>
    <cellStyle name="Comma 8 2 12" xfId="988" xr:uid="{00000000-0005-0000-0000-00000E030000}"/>
    <cellStyle name="Comma 8 2 13" xfId="989" xr:uid="{00000000-0005-0000-0000-00000F030000}"/>
    <cellStyle name="Comma 8 2 14" xfId="990" xr:uid="{00000000-0005-0000-0000-000010030000}"/>
    <cellStyle name="Comma 8 2 15" xfId="991" xr:uid="{00000000-0005-0000-0000-000011030000}"/>
    <cellStyle name="Comma 8 2 2" xfId="150" xr:uid="{00000000-0005-0000-0000-000012030000}"/>
    <cellStyle name="Comma 8 2 2 10" xfId="992" xr:uid="{00000000-0005-0000-0000-000013030000}"/>
    <cellStyle name="Comma 8 2 2 11" xfId="993" xr:uid="{00000000-0005-0000-0000-000014030000}"/>
    <cellStyle name="Comma 8 2 2 12" xfId="994" xr:uid="{00000000-0005-0000-0000-000015030000}"/>
    <cellStyle name="Comma 8 2 2 2" xfId="151" xr:uid="{00000000-0005-0000-0000-000016030000}"/>
    <cellStyle name="Comma 8 2 2 2 10" xfId="995" xr:uid="{00000000-0005-0000-0000-000017030000}"/>
    <cellStyle name="Comma 8 2 2 2 11" xfId="996" xr:uid="{00000000-0005-0000-0000-000018030000}"/>
    <cellStyle name="Comma 8 2 2 2 2" xfId="997" xr:uid="{00000000-0005-0000-0000-000019030000}"/>
    <cellStyle name="Comma 8 2 2 2 2 10" xfId="998" xr:uid="{00000000-0005-0000-0000-00001A030000}"/>
    <cellStyle name="Comma 8 2 2 2 2 2" xfId="999" xr:uid="{00000000-0005-0000-0000-00001B030000}"/>
    <cellStyle name="Comma 8 2 2 2 2 3" xfId="1000" xr:uid="{00000000-0005-0000-0000-00001C030000}"/>
    <cellStyle name="Comma 8 2 2 2 2 4" xfId="1001" xr:uid="{00000000-0005-0000-0000-00001D030000}"/>
    <cellStyle name="Comma 8 2 2 2 2 5" xfId="1002" xr:uid="{00000000-0005-0000-0000-00001E030000}"/>
    <cellStyle name="Comma 8 2 2 2 2 6" xfId="1003" xr:uid="{00000000-0005-0000-0000-00001F030000}"/>
    <cellStyle name="Comma 8 2 2 2 2 7" xfId="1004" xr:uid="{00000000-0005-0000-0000-000020030000}"/>
    <cellStyle name="Comma 8 2 2 2 2 8" xfId="1005" xr:uid="{00000000-0005-0000-0000-000021030000}"/>
    <cellStyle name="Comma 8 2 2 2 2 9" xfId="1006" xr:uid="{00000000-0005-0000-0000-000022030000}"/>
    <cellStyle name="Comma 8 2 2 2 3" xfId="1007" xr:uid="{00000000-0005-0000-0000-000023030000}"/>
    <cellStyle name="Comma 8 2 2 2 4" xfId="1008" xr:uid="{00000000-0005-0000-0000-000024030000}"/>
    <cellStyle name="Comma 8 2 2 2 5" xfId="1009" xr:uid="{00000000-0005-0000-0000-000025030000}"/>
    <cellStyle name="Comma 8 2 2 2 6" xfId="1010" xr:uid="{00000000-0005-0000-0000-000026030000}"/>
    <cellStyle name="Comma 8 2 2 2 7" xfId="1011" xr:uid="{00000000-0005-0000-0000-000027030000}"/>
    <cellStyle name="Comma 8 2 2 2 8" xfId="1012" xr:uid="{00000000-0005-0000-0000-000028030000}"/>
    <cellStyle name="Comma 8 2 2 2 9" xfId="1013" xr:uid="{00000000-0005-0000-0000-000029030000}"/>
    <cellStyle name="Comma 8 2 2 3" xfId="1014" xr:uid="{00000000-0005-0000-0000-00002A030000}"/>
    <cellStyle name="Comma 8 2 2 3 10" xfId="1015" xr:uid="{00000000-0005-0000-0000-00002B030000}"/>
    <cellStyle name="Comma 8 2 2 3 2" xfId="1016" xr:uid="{00000000-0005-0000-0000-00002C030000}"/>
    <cellStyle name="Comma 8 2 2 3 3" xfId="1017" xr:uid="{00000000-0005-0000-0000-00002D030000}"/>
    <cellStyle name="Comma 8 2 2 3 4" xfId="1018" xr:uid="{00000000-0005-0000-0000-00002E030000}"/>
    <cellStyle name="Comma 8 2 2 3 5" xfId="1019" xr:uid="{00000000-0005-0000-0000-00002F030000}"/>
    <cellStyle name="Comma 8 2 2 3 6" xfId="1020" xr:uid="{00000000-0005-0000-0000-000030030000}"/>
    <cellStyle name="Comma 8 2 2 3 7" xfId="1021" xr:uid="{00000000-0005-0000-0000-000031030000}"/>
    <cellStyle name="Comma 8 2 2 3 8" xfId="1022" xr:uid="{00000000-0005-0000-0000-000032030000}"/>
    <cellStyle name="Comma 8 2 2 3 9" xfId="1023" xr:uid="{00000000-0005-0000-0000-000033030000}"/>
    <cellStyle name="Comma 8 2 2 4" xfId="1024" xr:uid="{00000000-0005-0000-0000-000034030000}"/>
    <cellStyle name="Comma 8 2 2 5" xfId="1025" xr:uid="{00000000-0005-0000-0000-000035030000}"/>
    <cellStyle name="Comma 8 2 2 6" xfId="1026" xr:uid="{00000000-0005-0000-0000-000036030000}"/>
    <cellStyle name="Comma 8 2 2 7" xfId="1027" xr:uid="{00000000-0005-0000-0000-000037030000}"/>
    <cellStyle name="Comma 8 2 2 8" xfId="1028" xr:uid="{00000000-0005-0000-0000-000038030000}"/>
    <cellStyle name="Comma 8 2 2 9" xfId="1029" xr:uid="{00000000-0005-0000-0000-000039030000}"/>
    <cellStyle name="Comma 8 2 3" xfId="152" xr:uid="{00000000-0005-0000-0000-00003A030000}"/>
    <cellStyle name="Comma 8 2 3 10" xfId="1030" xr:uid="{00000000-0005-0000-0000-00003B030000}"/>
    <cellStyle name="Comma 8 2 3 11" xfId="1031" xr:uid="{00000000-0005-0000-0000-00003C030000}"/>
    <cellStyle name="Comma 8 2 3 12" xfId="1032" xr:uid="{00000000-0005-0000-0000-00003D030000}"/>
    <cellStyle name="Comma 8 2 3 2" xfId="153" xr:uid="{00000000-0005-0000-0000-00003E030000}"/>
    <cellStyle name="Comma 8 2 3 2 10" xfId="1033" xr:uid="{00000000-0005-0000-0000-00003F030000}"/>
    <cellStyle name="Comma 8 2 3 2 11" xfId="1034" xr:uid="{00000000-0005-0000-0000-000040030000}"/>
    <cellStyle name="Comma 8 2 3 2 2" xfId="1035" xr:uid="{00000000-0005-0000-0000-000041030000}"/>
    <cellStyle name="Comma 8 2 3 2 2 10" xfId="1036" xr:uid="{00000000-0005-0000-0000-000042030000}"/>
    <cellStyle name="Comma 8 2 3 2 2 2" xfId="1037" xr:uid="{00000000-0005-0000-0000-000043030000}"/>
    <cellStyle name="Comma 8 2 3 2 2 3" xfId="1038" xr:uid="{00000000-0005-0000-0000-000044030000}"/>
    <cellStyle name="Comma 8 2 3 2 2 4" xfId="1039" xr:uid="{00000000-0005-0000-0000-000045030000}"/>
    <cellStyle name="Comma 8 2 3 2 2 5" xfId="1040" xr:uid="{00000000-0005-0000-0000-000046030000}"/>
    <cellStyle name="Comma 8 2 3 2 2 6" xfId="1041" xr:uid="{00000000-0005-0000-0000-000047030000}"/>
    <cellStyle name="Comma 8 2 3 2 2 7" xfId="1042" xr:uid="{00000000-0005-0000-0000-000048030000}"/>
    <cellStyle name="Comma 8 2 3 2 2 8" xfId="1043" xr:uid="{00000000-0005-0000-0000-000049030000}"/>
    <cellStyle name="Comma 8 2 3 2 2 9" xfId="1044" xr:uid="{00000000-0005-0000-0000-00004A030000}"/>
    <cellStyle name="Comma 8 2 3 2 3" xfId="1045" xr:uid="{00000000-0005-0000-0000-00004B030000}"/>
    <cellStyle name="Comma 8 2 3 2 4" xfId="1046" xr:uid="{00000000-0005-0000-0000-00004C030000}"/>
    <cellStyle name="Comma 8 2 3 2 5" xfId="1047" xr:uid="{00000000-0005-0000-0000-00004D030000}"/>
    <cellStyle name="Comma 8 2 3 2 6" xfId="1048" xr:uid="{00000000-0005-0000-0000-00004E030000}"/>
    <cellStyle name="Comma 8 2 3 2 7" xfId="1049" xr:uid="{00000000-0005-0000-0000-00004F030000}"/>
    <cellStyle name="Comma 8 2 3 2 8" xfId="1050" xr:uid="{00000000-0005-0000-0000-000050030000}"/>
    <cellStyle name="Comma 8 2 3 2 9" xfId="1051" xr:uid="{00000000-0005-0000-0000-000051030000}"/>
    <cellStyle name="Comma 8 2 3 3" xfId="1052" xr:uid="{00000000-0005-0000-0000-000052030000}"/>
    <cellStyle name="Comma 8 2 3 3 10" xfId="1053" xr:uid="{00000000-0005-0000-0000-000053030000}"/>
    <cellStyle name="Comma 8 2 3 3 2" xfId="1054" xr:uid="{00000000-0005-0000-0000-000054030000}"/>
    <cellStyle name="Comma 8 2 3 3 3" xfId="1055" xr:uid="{00000000-0005-0000-0000-000055030000}"/>
    <cellStyle name="Comma 8 2 3 3 4" xfId="1056" xr:uid="{00000000-0005-0000-0000-000056030000}"/>
    <cellStyle name="Comma 8 2 3 3 5" xfId="1057" xr:uid="{00000000-0005-0000-0000-000057030000}"/>
    <cellStyle name="Comma 8 2 3 3 6" xfId="1058" xr:uid="{00000000-0005-0000-0000-000058030000}"/>
    <cellStyle name="Comma 8 2 3 3 7" xfId="1059" xr:uid="{00000000-0005-0000-0000-000059030000}"/>
    <cellStyle name="Comma 8 2 3 3 8" xfId="1060" xr:uid="{00000000-0005-0000-0000-00005A030000}"/>
    <cellStyle name="Comma 8 2 3 3 9" xfId="1061" xr:uid="{00000000-0005-0000-0000-00005B030000}"/>
    <cellStyle name="Comma 8 2 3 4" xfId="1062" xr:uid="{00000000-0005-0000-0000-00005C030000}"/>
    <cellStyle name="Comma 8 2 3 5" xfId="1063" xr:uid="{00000000-0005-0000-0000-00005D030000}"/>
    <cellStyle name="Comma 8 2 3 6" xfId="1064" xr:uid="{00000000-0005-0000-0000-00005E030000}"/>
    <cellStyle name="Comma 8 2 3 7" xfId="1065" xr:uid="{00000000-0005-0000-0000-00005F030000}"/>
    <cellStyle name="Comma 8 2 3 8" xfId="1066" xr:uid="{00000000-0005-0000-0000-000060030000}"/>
    <cellStyle name="Comma 8 2 3 9" xfId="1067" xr:uid="{00000000-0005-0000-0000-000061030000}"/>
    <cellStyle name="Comma 8 2 4" xfId="154" xr:uid="{00000000-0005-0000-0000-000062030000}"/>
    <cellStyle name="Comma 8 2 4 10" xfId="1068" xr:uid="{00000000-0005-0000-0000-000063030000}"/>
    <cellStyle name="Comma 8 2 4 11" xfId="1069" xr:uid="{00000000-0005-0000-0000-000064030000}"/>
    <cellStyle name="Comma 8 2 4 12" xfId="1070" xr:uid="{00000000-0005-0000-0000-000065030000}"/>
    <cellStyle name="Comma 8 2 4 2" xfId="155" xr:uid="{00000000-0005-0000-0000-000066030000}"/>
    <cellStyle name="Comma 8 2 4 2 10" xfId="1071" xr:uid="{00000000-0005-0000-0000-000067030000}"/>
    <cellStyle name="Comma 8 2 4 2 11" xfId="1072" xr:uid="{00000000-0005-0000-0000-000068030000}"/>
    <cellStyle name="Comma 8 2 4 2 2" xfId="1073" xr:uid="{00000000-0005-0000-0000-000069030000}"/>
    <cellStyle name="Comma 8 2 4 2 2 10" xfId="1074" xr:uid="{00000000-0005-0000-0000-00006A030000}"/>
    <cellStyle name="Comma 8 2 4 2 2 2" xfId="1075" xr:uid="{00000000-0005-0000-0000-00006B030000}"/>
    <cellStyle name="Comma 8 2 4 2 2 3" xfId="1076" xr:uid="{00000000-0005-0000-0000-00006C030000}"/>
    <cellStyle name="Comma 8 2 4 2 2 4" xfId="1077" xr:uid="{00000000-0005-0000-0000-00006D030000}"/>
    <cellStyle name="Comma 8 2 4 2 2 5" xfId="1078" xr:uid="{00000000-0005-0000-0000-00006E030000}"/>
    <cellStyle name="Comma 8 2 4 2 2 6" xfId="1079" xr:uid="{00000000-0005-0000-0000-00006F030000}"/>
    <cellStyle name="Comma 8 2 4 2 2 7" xfId="1080" xr:uid="{00000000-0005-0000-0000-000070030000}"/>
    <cellStyle name="Comma 8 2 4 2 2 8" xfId="1081" xr:uid="{00000000-0005-0000-0000-000071030000}"/>
    <cellStyle name="Comma 8 2 4 2 2 9" xfId="1082" xr:uid="{00000000-0005-0000-0000-000072030000}"/>
    <cellStyle name="Comma 8 2 4 2 3" xfId="1083" xr:uid="{00000000-0005-0000-0000-000073030000}"/>
    <cellStyle name="Comma 8 2 4 2 4" xfId="1084" xr:uid="{00000000-0005-0000-0000-000074030000}"/>
    <cellStyle name="Comma 8 2 4 2 5" xfId="1085" xr:uid="{00000000-0005-0000-0000-000075030000}"/>
    <cellStyle name="Comma 8 2 4 2 6" xfId="1086" xr:uid="{00000000-0005-0000-0000-000076030000}"/>
    <cellStyle name="Comma 8 2 4 2 7" xfId="1087" xr:uid="{00000000-0005-0000-0000-000077030000}"/>
    <cellStyle name="Comma 8 2 4 2 8" xfId="1088" xr:uid="{00000000-0005-0000-0000-000078030000}"/>
    <cellStyle name="Comma 8 2 4 2 9" xfId="1089" xr:uid="{00000000-0005-0000-0000-000079030000}"/>
    <cellStyle name="Comma 8 2 4 3" xfId="1090" xr:uid="{00000000-0005-0000-0000-00007A030000}"/>
    <cellStyle name="Comma 8 2 4 3 10" xfId="1091" xr:uid="{00000000-0005-0000-0000-00007B030000}"/>
    <cellStyle name="Comma 8 2 4 3 2" xfId="1092" xr:uid="{00000000-0005-0000-0000-00007C030000}"/>
    <cellStyle name="Comma 8 2 4 3 3" xfId="1093" xr:uid="{00000000-0005-0000-0000-00007D030000}"/>
    <cellStyle name="Comma 8 2 4 3 4" xfId="1094" xr:uid="{00000000-0005-0000-0000-00007E030000}"/>
    <cellStyle name="Comma 8 2 4 3 5" xfId="1095" xr:uid="{00000000-0005-0000-0000-00007F030000}"/>
    <cellStyle name="Comma 8 2 4 3 6" xfId="1096" xr:uid="{00000000-0005-0000-0000-000080030000}"/>
    <cellStyle name="Comma 8 2 4 3 7" xfId="1097" xr:uid="{00000000-0005-0000-0000-000081030000}"/>
    <cellStyle name="Comma 8 2 4 3 8" xfId="1098" xr:uid="{00000000-0005-0000-0000-000082030000}"/>
    <cellStyle name="Comma 8 2 4 3 9" xfId="1099" xr:uid="{00000000-0005-0000-0000-000083030000}"/>
    <cellStyle name="Comma 8 2 4 4" xfId="1100" xr:uid="{00000000-0005-0000-0000-000084030000}"/>
    <cellStyle name="Comma 8 2 4 5" xfId="1101" xr:uid="{00000000-0005-0000-0000-000085030000}"/>
    <cellStyle name="Comma 8 2 4 6" xfId="1102" xr:uid="{00000000-0005-0000-0000-000086030000}"/>
    <cellStyle name="Comma 8 2 4 7" xfId="1103" xr:uid="{00000000-0005-0000-0000-000087030000}"/>
    <cellStyle name="Comma 8 2 4 8" xfId="1104" xr:uid="{00000000-0005-0000-0000-000088030000}"/>
    <cellStyle name="Comma 8 2 4 9" xfId="1105" xr:uid="{00000000-0005-0000-0000-000089030000}"/>
    <cellStyle name="Comma 8 2 5" xfId="1106" xr:uid="{00000000-0005-0000-0000-00008A030000}"/>
    <cellStyle name="Comma 8 2 5 10" xfId="1107" xr:uid="{00000000-0005-0000-0000-00008B030000}"/>
    <cellStyle name="Comma 8 2 5 2" xfId="1108" xr:uid="{00000000-0005-0000-0000-00008C030000}"/>
    <cellStyle name="Comma 8 2 5 3" xfId="1109" xr:uid="{00000000-0005-0000-0000-00008D030000}"/>
    <cellStyle name="Comma 8 2 5 4" xfId="1110" xr:uid="{00000000-0005-0000-0000-00008E030000}"/>
    <cellStyle name="Comma 8 2 5 5" xfId="1111" xr:uid="{00000000-0005-0000-0000-00008F030000}"/>
    <cellStyle name="Comma 8 2 5 6" xfId="1112" xr:uid="{00000000-0005-0000-0000-000090030000}"/>
    <cellStyle name="Comma 8 2 5 7" xfId="1113" xr:uid="{00000000-0005-0000-0000-000091030000}"/>
    <cellStyle name="Comma 8 2 5 8" xfId="1114" xr:uid="{00000000-0005-0000-0000-000092030000}"/>
    <cellStyle name="Comma 8 2 5 9" xfId="1115" xr:uid="{00000000-0005-0000-0000-000093030000}"/>
    <cellStyle name="Comma 8 2 6" xfId="1116" xr:uid="{00000000-0005-0000-0000-000094030000}"/>
    <cellStyle name="Comma 8 2 7" xfId="1117" xr:uid="{00000000-0005-0000-0000-000095030000}"/>
    <cellStyle name="Comma 8 2 8" xfId="1118" xr:uid="{00000000-0005-0000-0000-000096030000}"/>
    <cellStyle name="Comma 8 2 9" xfId="1119" xr:uid="{00000000-0005-0000-0000-000097030000}"/>
    <cellStyle name="Comma 8 3" xfId="156" xr:uid="{00000000-0005-0000-0000-000098030000}"/>
    <cellStyle name="Comma 8 3 10" xfId="1120" xr:uid="{00000000-0005-0000-0000-000099030000}"/>
    <cellStyle name="Comma 8 3 11" xfId="1121" xr:uid="{00000000-0005-0000-0000-00009A030000}"/>
    <cellStyle name="Comma 8 3 12" xfId="1122" xr:uid="{00000000-0005-0000-0000-00009B030000}"/>
    <cellStyle name="Comma 8 3 13" xfId="1123" xr:uid="{00000000-0005-0000-0000-00009C030000}"/>
    <cellStyle name="Comma 8 3 14" xfId="1124" xr:uid="{00000000-0005-0000-0000-00009D030000}"/>
    <cellStyle name="Comma 8 3 2" xfId="157" xr:uid="{00000000-0005-0000-0000-00009E030000}"/>
    <cellStyle name="Comma 8 3 2 10" xfId="1125" xr:uid="{00000000-0005-0000-0000-00009F030000}"/>
    <cellStyle name="Comma 8 3 2 11" xfId="1126" xr:uid="{00000000-0005-0000-0000-0000A0030000}"/>
    <cellStyle name="Comma 8 3 2 12" xfId="1127" xr:uid="{00000000-0005-0000-0000-0000A1030000}"/>
    <cellStyle name="Comma 8 3 2 2" xfId="158" xr:uid="{00000000-0005-0000-0000-0000A2030000}"/>
    <cellStyle name="Comma 8 3 2 2 10" xfId="1128" xr:uid="{00000000-0005-0000-0000-0000A3030000}"/>
    <cellStyle name="Comma 8 3 2 2 11" xfId="1129" xr:uid="{00000000-0005-0000-0000-0000A4030000}"/>
    <cellStyle name="Comma 8 3 2 2 2" xfId="1130" xr:uid="{00000000-0005-0000-0000-0000A5030000}"/>
    <cellStyle name="Comma 8 3 2 2 2 10" xfId="1131" xr:uid="{00000000-0005-0000-0000-0000A6030000}"/>
    <cellStyle name="Comma 8 3 2 2 2 2" xfId="1132" xr:uid="{00000000-0005-0000-0000-0000A7030000}"/>
    <cellStyle name="Comma 8 3 2 2 2 3" xfId="1133" xr:uid="{00000000-0005-0000-0000-0000A8030000}"/>
    <cellStyle name="Comma 8 3 2 2 2 4" xfId="1134" xr:uid="{00000000-0005-0000-0000-0000A9030000}"/>
    <cellStyle name="Comma 8 3 2 2 2 5" xfId="1135" xr:uid="{00000000-0005-0000-0000-0000AA030000}"/>
    <cellStyle name="Comma 8 3 2 2 2 6" xfId="1136" xr:uid="{00000000-0005-0000-0000-0000AB030000}"/>
    <cellStyle name="Comma 8 3 2 2 2 7" xfId="1137" xr:uid="{00000000-0005-0000-0000-0000AC030000}"/>
    <cellStyle name="Comma 8 3 2 2 2 8" xfId="1138" xr:uid="{00000000-0005-0000-0000-0000AD030000}"/>
    <cellStyle name="Comma 8 3 2 2 2 9" xfId="1139" xr:uid="{00000000-0005-0000-0000-0000AE030000}"/>
    <cellStyle name="Comma 8 3 2 2 3" xfId="1140" xr:uid="{00000000-0005-0000-0000-0000AF030000}"/>
    <cellStyle name="Comma 8 3 2 2 4" xfId="1141" xr:uid="{00000000-0005-0000-0000-0000B0030000}"/>
    <cellStyle name="Comma 8 3 2 2 5" xfId="1142" xr:uid="{00000000-0005-0000-0000-0000B1030000}"/>
    <cellStyle name="Comma 8 3 2 2 6" xfId="1143" xr:uid="{00000000-0005-0000-0000-0000B2030000}"/>
    <cellStyle name="Comma 8 3 2 2 7" xfId="1144" xr:uid="{00000000-0005-0000-0000-0000B3030000}"/>
    <cellStyle name="Comma 8 3 2 2 8" xfId="1145" xr:uid="{00000000-0005-0000-0000-0000B4030000}"/>
    <cellStyle name="Comma 8 3 2 2 9" xfId="1146" xr:uid="{00000000-0005-0000-0000-0000B5030000}"/>
    <cellStyle name="Comma 8 3 2 3" xfId="1147" xr:uid="{00000000-0005-0000-0000-0000B6030000}"/>
    <cellStyle name="Comma 8 3 2 3 10" xfId="1148" xr:uid="{00000000-0005-0000-0000-0000B7030000}"/>
    <cellStyle name="Comma 8 3 2 3 2" xfId="1149" xr:uid="{00000000-0005-0000-0000-0000B8030000}"/>
    <cellStyle name="Comma 8 3 2 3 3" xfId="1150" xr:uid="{00000000-0005-0000-0000-0000B9030000}"/>
    <cellStyle name="Comma 8 3 2 3 4" xfId="1151" xr:uid="{00000000-0005-0000-0000-0000BA030000}"/>
    <cellStyle name="Comma 8 3 2 3 5" xfId="1152" xr:uid="{00000000-0005-0000-0000-0000BB030000}"/>
    <cellStyle name="Comma 8 3 2 3 6" xfId="1153" xr:uid="{00000000-0005-0000-0000-0000BC030000}"/>
    <cellStyle name="Comma 8 3 2 3 7" xfId="1154" xr:uid="{00000000-0005-0000-0000-0000BD030000}"/>
    <cellStyle name="Comma 8 3 2 3 8" xfId="1155" xr:uid="{00000000-0005-0000-0000-0000BE030000}"/>
    <cellStyle name="Comma 8 3 2 3 9" xfId="1156" xr:uid="{00000000-0005-0000-0000-0000BF030000}"/>
    <cellStyle name="Comma 8 3 2 4" xfId="1157" xr:uid="{00000000-0005-0000-0000-0000C0030000}"/>
    <cellStyle name="Comma 8 3 2 5" xfId="1158" xr:uid="{00000000-0005-0000-0000-0000C1030000}"/>
    <cellStyle name="Comma 8 3 2 6" xfId="1159" xr:uid="{00000000-0005-0000-0000-0000C2030000}"/>
    <cellStyle name="Comma 8 3 2 7" xfId="1160" xr:uid="{00000000-0005-0000-0000-0000C3030000}"/>
    <cellStyle name="Comma 8 3 2 8" xfId="1161" xr:uid="{00000000-0005-0000-0000-0000C4030000}"/>
    <cellStyle name="Comma 8 3 2 9" xfId="1162" xr:uid="{00000000-0005-0000-0000-0000C5030000}"/>
    <cellStyle name="Comma 8 3 3" xfId="159" xr:uid="{00000000-0005-0000-0000-0000C6030000}"/>
    <cellStyle name="Comma 8 3 3 10" xfId="1163" xr:uid="{00000000-0005-0000-0000-0000C7030000}"/>
    <cellStyle name="Comma 8 3 3 11" xfId="1164" xr:uid="{00000000-0005-0000-0000-0000C8030000}"/>
    <cellStyle name="Comma 8 3 3 12" xfId="1165" xr:uid="{00000000-0005-0000-0000-0000C9030000}"/>
    <cellStyle name="Comma 8 3 3 2" xfId="160" xr:uid="{00000000-0005-0000-0000-0000CA030000}"/>
    <cellStyle name="Comma 8 3 3 2 10" xfId="1166" xr:uid="{00000000-0005-0000-0000-0000CB030000}"/>
    <cellStyle name="Comma 8 3 3 2 11" xfId="1167" xr:uid="{00000000-0005-0000-0000-0000CC030000}"/>
    <cellStyle name="Comma 8 3 3 2 2" xfId="1168" xr:uid="{00000000-0005-0000-0000-0000CD030000}"/>
    <cellStyle name="Comma 8 3 3 2 2 10" xfId="1169" xr:uid="{00000000-0005-0000-0000-0000CE030000}"/>
    <cellStyle name="Comma 8 3 3 2 2 2" xfId="1170" xr:uid="{00000000-0005-0000-0000-0000CF030000}"/>
    <cellStyle name="Comma 8 3 3 2 2 3" xfId="1171" xr:uid="{00000000-0005-0000-0000-0000D0030000}"/>
    <cellStyle name="Comma 8 3 3 2 2 4" xfId="1172" xr:uid="{00000000-0005-0000-0000-0000D1030000}"/>
    <cellStyle name="Comma 8 3 3 2 2 5" xfId="1173" xr:uid="{00000000-0005-0000-0000-0000D2030000}"/>
    <cellStyle name="Comma 8 3 3 2 2 6" xfId="1174" xr:uid="{00000000-0005-0000-0000-0000D3030000}"/>
    <cellStyle name="Comma 8 3 3 2 2 7" xfId="1175" xr:uid="{00000000-0005-0000-0000-0000D4030000}"/>
    <cellStyle name="Comma 8 3 3 2 2 8" xfId="1176" xr:uid="{00000000-0005-0000-0000-0000D5030000}"/>
    <cellStyle name="Comma 8 3 3 2 2 9" xfId="1177" xr:uid="{00000000-0005-0000-0000-0000D6030000}"/>
    <cellStyle name="Comma 8 3 3 2 3" xfId="1178" xr:uid="{00000000-0005-0000-0000-0000D7030000}"/>
    <cellStyle name="Comma 8 3 3 2 4" xfId="1179" xr:uid="{00000000-0005-0000-0000-0000D8030000}"/>
    <cellStyle name="Comma 8 3 3 2 5" xfId="1180" xr:uid="{00000000-0005-0000-0000-0000D9030000}"/>
    <cellStyle name="Comma 8 3 3 2 6" xfId="1181" xr:uid="{00000000-0005-0000-0000-0000DA030000}"/>
    <cellStyle name="Comma 8 3 3 2 7" xfId="1182" xr:uid="{00000000-0005-0000-0000-0000DB030000}"/>
    <cellStyle name="Comma 8 3 3 2 8" xfId="1183" xr:uid="{00000000-0005-0000-0000-0000DC030000}"/>
    <cellStyle name="Comma 8 3 3 2 9" xfId="1184" xr:uid="{00000000-0005-0000-0000-0000DD030000}"/>
    <cellStyle name="Comma 8 3 3 3" xfId="1185" xr:uid="{00000000-0005-0000-0000-0000DE030000}"/>
    <cellStyle name="Comma 8 3 3 3 10" xfId="1186" xr:uid="{00000000-0005-0000-0000-0000DF030000}"/>
    <cellStyle name="Comma 8 3 3 3 2" xfId="1187" xr:uid="{00000000-0005-0000-0000-0000E0030000}"/>
    <cellStyle name="Comma 8 3 3 3 3" xfId="1188" xr:uid="{00000000-0005-0000-0000-0000E1030000}"/>
    <cellStyle name="Comma 8 3 3 3 4" xfId="1189" xr:uid="{00000000-0005-0000-0000-0000E2030000}"/>
    <cellStyle name="Comma 8 3 3 3 5" xfId="1190" xr:uid="{00000000-0005-0000-0000-0000E3030000}"/>
    <cellStyle name="Comma 8 3 3 3 6" xfId="1191" xr:uid="{00000000-0005-0000-0000-0000E4030000}"/>
    <cellStyle name="Comma 8 3 3 3 7" xfId="1192" xr:uid="{00000000-0005-0000-0000-0000E5030000}"/>
    <cellStyle name="Comma 8 3 3 3 8" xfId="1193" xr:uid="{00000000-0005-0000-0000-0000E6030000}"/>
    <cellStyle name="Comma 8 3 3 3 9" xfId="1194" xr:uid="{00000000-0005-0000-0000-0000E7030000}"/>
    <cellStyle name="Comma 8 3 3 4" xfId="1195" xr:uid="{00000000-0005-0000-0000-0000E8030000}"/>
    <cellStyle name="Comma 8 3 3 5" xfId="1196" xr:uid="{00000000-0005-0000-0000-0000E9030000}"/>
    <cellStyle name="Comma 8 3 3 6" xfId="1197" xr:uid="{00000000-0005-0000-0000-0000EA030000}"/>
    <cellStyle name="Comma 8 3 3 7" xfId="1198" xr:uid="{00000000-0005-0000-0000-0000EB030000}"/>
    <cellStyle name="Comma 8 3 3 8" xfId="1199" xr:uid="{00000000-0005-0000-0000-0000EC030000}"/>
    <cellStyle name="Comma 8 3 3 9" xfId="1200" xr:uid="{00000000-0005-0000-0000-0000ED030000}"/>
    <cellStyle name="Comma 8 3 4" xfId="161" xr:uid="{00000000-0005-0000-0000-0000EE030000}"/>
    <cellStyle name="Comma 8 3 4 10" xfId="1201" xr:uid="{00000000-0005-0000-0000-0000EF030000}"/>
    <cellStyle name="Comma 8 3 4 11" xfId="1202" xr:uid="{00000000-0005-0000-0000-0000F0030000}"/>
    <cellStyle name="Comma 8 3 4 12" xfId="1203" xr:uid="{00000000-0005-0000-0000-0000F1030000}"/>
    <cellStyle name="Comma 8 3 4 2" xfId="162" xr:uid="{00000000-0005-0000-0000-0000F2030000}"/>
    <cellStyle name="Comma 8 3 4 2 10" xfId="1204" xr:uid="{00000000-0005-0000-0000-0000F3030000}"/>
    <cellStyle name="Comma 8 3 4 2 11" xfId="1205" xr:uid="{00000000-0005-0000-0000-0000F4030000}"/>
    <cellStyle name="Comma 8 3 4 2 2" xfId="1206" xr:uid="{00000000-0005-0000-0000-0000F5030000}"/>
    <cellStyle name="Comma 8 3 4 2 2 10" xfId="1207" xr:uid="{00000000-0005-0000-0000-0000F6030000}"/>
    <cellStyle name="Comma 8 3 4 2 2 2" xfId="1208" xr:uid="{00000000-0005-0000-0000-0000F7030000}"/>
    <cellStyle name="Comma 8 3 4 2 2 3" xfId="1209" xr:uid="{00000000-0005-0000-0000-0000F8030000}"/>
    <cellStyle name="Comma 8 3 4 2 2 4" xfId="1210" xr:uid="{00000000-0005-0000-0000-0000F9030000}"/>
    <cellStyle name="Comma 8 3 4 2 2 5" xfId="1211" xr:uid="{00000000-0005-0000-0000-0000FA030000}"/>
    <cellStyle name="Comma 8 3 4 2 2 6" xfId="1212" xr:uid="{00000000-0005-0000-0000-0000FB030000}"/>
    <cellStyle name="Comma 8 3 4 2 2 7" xfId="1213" xr:uid="{00000000-0005-0000-0000-0000FC030000}"/>
    <cellStyle name="Comma 8 3 4 2 2 8" xfId="1214" xr:uid="{00000000-0005-0000-0000-0000FD030000}"/>
    <cellStyle name="Comma 8 3 4 2 2 9" xfId="1215" xr:uid="{00000000-0005-0000-0000-0000FE030000}"/>
    <cellStyle name="Comma 8 3 4 2 3" xfId="1216" xr:uid="{00000000-0005-0000-0000-0000FF030000}"/>
    <cellStyle name="Comma 8 3 4 2 4" xfId="1217" xr:uid="{00000000-0005-0000-0000-000000040000}"/>
    <cellStyle name="Comma 8 3 4 2 5" xfId="1218" xr:uid="{00000000-0005-0000-0000-000001040000}"/>
    <cellStyle name="Comma 8 3 4 2 6" xfId="1219" xr:uid="{00000000-0005-0000-0000-000002040000}"/>
    <cellStyle name="Comma 8 3 4 2 7" xfId="1220" xr:uid="{00000000-0005-0000-0000-000003040000}"/>
    <cellStyle name="Comma 8 3 4 2 8" xfId="1221" xr:uid="{00000000-0005-0000-0000-000004040000}"/>
    <cellStyle name="Comma 8 3 4 2 9" xfId="1222" xr:uid="{00000000-0005-0000-0000-000005040000}"/>
    <cellStyle name="Comma 8 3 4 3" xfId="1223" xr:uid="{00000000-0005-0000-0000-000006040000}"/>
    <cellStyle name="Comma 8 3 4 3 10" xfId="1224" xr:uid="{00000000-0005-0000-0000-000007040000}"/>
    <cellStyle name="Comma 8 3 4 3 2" xfId="1225" xr:uid="{00000000-0005-0000-0000-000008040000}"/>
    <cellStyle name="Comma 8 3 4 3 3" xfId="1226" xr:uid="{00000000-0005-0000-0000-000009040000}"/>
    <cellStyle name="Comma 8 3 4 3 4" xfId="1227" xr:uid="{00000000-0005-0000-0000-00000A040000}"/>
    <cellStyle name="Comma 8 3 4 3 5" xfId="1228" xr:uid="{00000000-0005-0000-0000-00000B040000}"/>
    <cellStyle name="Comma 8 3 4 3 6" xfId="1229" xr:uid="{00000000-0005-0000-0000-00000C040000}"/>
    <cellStyle name="Comma 8 3 4 3 7" xfId="1230" xr:uid="{00000000-0005-0000-0000-00000D040000}"/>
    <cellStyle name="Comma 8 3 4 3 8" xfId="1231" xr:uid="{00000000-0005-0000-0000-00000E040000}"/>
    <cellStyle name="Comma 8 3 4 3 9" xfId="1232" xr:uid="{00000000-0005-0000-0000-00000F040000}"/>
    <cellStyle name="Comma 8 3 4 4" xfId="1233" xr:uid="{00000000-0005-0000-0000-000010040000}"/>
    <cellStyle name="Comma 8 3 4 5" xfId="1234" xr:uid="{00000000-0005-0000-0000-000011040000}"/>
    <cellStyle name="Comma 8 3 4 6" xfId="1235" xr:uid="{00000000-0005-0000-0000-000012040000}"/>
    <cellStyle name="Comma 8 3 4 7" xfId="1236" xr:uid="{00000000-0005-0000-0000-000013040000}"/>
    <cellStyle name="Comma 8 3 4 8" xfId="1237" xr:uid="{00000000-0005-0000-0000-000014040000}"/>
    <cellStyle name="Comma 8 3 4 9" xfId="1238" xr:uid="{00000000-0005-0000-0000-000015040000}"/>
    <cellStyle name="Comma 8 3 5" xfId="1239" xr:uid="{00000000-0005-0000-0000-000016040000}"/>
    <cellStyle name="Comma 8 3 5 10" xfId="1240" xr:uid="{00000000-0005-0000-0000-000017040000}"/>
    <cellStyle name="Comma 8 3 5 2" xfId="1241" xr:uid="{00000000-0005-0000-0000-000018040000}"/>
    <cellStyle name="Comma 8 3 5 3" xfId="1242" xr:uid="{00000000-0005-0000-0000-000019040000}"/>
    <cellStyle name="Comma 8 3 5 4" xfId="1243" xr:uid="{00000000-0005-0000-0000-00001A040000}"/>
    <cellStyle name="Comma 8 3 5 5" xfId="1244" xr:uid="{00000000-0005-0000-0000-00001B040000}"/>
    <cellStyle name="Comma 8 3 5 6" xfId="1245" xr:uid="{00000000-0005-0000-0000-00001C040000}"/>
    <cellStyle name="Comma 8 3 5 7" xfId="1246" xr:uid="{00000000-0005-0000-0000-00001D040000}"/>
    <cellStyle name="Comma 8 3 5 8" xfId="1247" xr:uid="{00000000-0005-0000-0000-00001E040000}"/>
    <cellStyle name="Comma 8 3 5 9" xfId="1248" xr:uid="{00000000-0005-0000-0000-00001F040000}"/>
    <cellStyle name="Comma 8 3 6" xfId="1249" xr:uid="{00000000-0005-0000-0000-000020040000}"/>
    <cellStyle name="Comma 8 3 7" xfId="1250" xr:uid="{00000000-0005-0000-0000-000021040000}"/>
    <cellStyle name="Comma 8 3 8" xfId="1251" xr:uid="{00000000-0005-0000-0000-000022040000}"/>
    <cellStyle name="Comma 8 3 9" xfId="1252" xr:uid="{00000000-0005-0000-0000-000023040000}"/>
    <cellStyle name="Comma 8 4" xfId="163" xr:uid="{00000000-0005-0000-0000-000024040000}"/>
    <cellStyle name="Comma 8 5" xfId="164" xr:uid="{00000000-0005-0000-0000-000025040000}"/>
    <cellStyle name="Comma 8 6" xfId="165" xr:uid="{00000000-0005-0000-0000-000026040000}"/>
    <cellStyle name="Comma 8 7" xfId="166" xr:uid="{00000000-0005-0000-0000-000027040000}"/>
    <cellStyle name="Comma 8 8" xfId="167" xr:uid="{00000000-0005-0000-0000-000028040000}"/>
    <cellStyle name="Comma 8 8 10" xfId="1253" xr:uid="{00000000-0005-0000-0000-000029040000}"/>
    <cellStyle name="Comma 8 8 11" xfId="1254" xr:uid="{00000000-0005-0000-0000-00002A040000}"/>
    <cellStyle name="Comma 8 8 2" xfId="1255" xr:uid="{00000000-0005-0000-0000-00002B040000}"/>
    <cellStyle name="Comma 8 8 2 10" xfId="1256" xr:uid="{00000000-0005-0000-0000-00002C040000}"/>
    <cellStyle name="Comma 8 8 2 2" xfId="1257" xr:uid="{00000000-0005-0000-0000-00002D040000}"/>
    <cellStyle name="Comma 8 8 2 3" xfId="1258" xr:uid="{00000000-0005-0000-0000-00002E040000}"/>
    <cellStyle name="Comma 8 8 2 4" xfId="1259" xr:uid="{00000000-0005-0000-0000-00002F040000}"/>
    <cellStyle name="Comma 8 8 2 5" xfId="1260" xr:uid="{00000000-0005-0000-0000-000030040000}"/>
    <cellStyle name="Comma 8 8 2 6" xfId="1261" xr:uid="{00000000-0005-0000-0000-000031040000}"/>
    <cellStyle name="Comma 8 8 2 7" xfId="1262" xr:uid="{00000000-0005-0000-0000-000032040000}"/>
    <cellStyle name="Comma 8 8 2 8" xfId="1263" xr:uid="{00000000-0005-0000-0000-000033040000}"/>
    <cellStyle name="Comma 8 8 2 9" xfId="1264" xr:uid="{00000000-0005-0000-0000-000034040000}"/>
    <cellStyle name="Comma 8 8 3" xfId="1265" xr:uid="{00000000-0005-0000-0000-000035040000}"/>
    <cellStyle name="Comma 8 8 4" xfId="1266" xr:uid="{00000000-0005-0000-0000-000036040000}"/>
    <cellStyle name="Comma 8 8 5" xfId="1267" xr:uid="{00000000-0005-0000-0000-000037040000}"/>
    <cellStyle name="Comma 8 8 6" xfId="1268" xr:uid="{00000000-0005-0000-0000-000038040000}"/>
    <cellStyle name="Comma 8 8 7" xfId="1269" xr:uid="{00000000-0005-0000-0000-000039040000}"/>
    <cellStyle name="Comma 8 8 8" xfId="1270" xr:uid="{00000000-0005-0000-0000-00003A040000}"/>
    <cellStyle name="Comma 8 8 9" xfId="1271" xr:uid="{00000000-0005-0000-0000-00003B040000}"/>
    <cellStyle name="Comma 8 9" xfId="1272" xr:uid="{00000000-0005-0000-0000-00003C040000}"/>
    <cellStyle name="Comma 8 9 10" xfId="1273" xr:uid="{00000000-0005-0000-0000-00003D040000}"/>
    <cellStyle name="Comma 8 9 2" xfId="1274" xr:uid="{00000000-0005-0000-0000-00003E040000}"/>
    <cellStyle name="Comma 8 9 3" xfId="1275" xr:uid="{00000000-0005-0000-0000-00003F040000}"/>
    <cellStyle name="Comma 8 9 4" xfId="1276" xr:uid="{00000000-0005-0000-0000-000040040000}"/>
    <cellStyle name="Comma 8 9 5" xfId="1277" xr:uid="{00000000-0005-0000-0000-000041040000}"/>
    <cellStyle name="Comma 8 9 6" xfId="1278" xr:uid="{00000000-0005-0000-0000-000042040000}"/>
    <cellStyle name="Comma 8 9 7" xfId="1279" xr:uid="{00000000-0005-0000-0000-000043040000}"/>
    <cellStyle name="Comma 8 9 8" xfId="1280" xr:uid="{00000000-0005-0000-0000-000044040000}"/>
    <cellStyle name="Comma 8 9 9" xfId="1281" xr:uid="{00000000-0005-0000-0000-000045040000}"/>
    <cellStyle name="Comma 9" xfId="4" xr:uid="{00000000-0005-0000-0000-000046040000}"/>
    <cellStyle name="Comma 9 2" xfId="168" xr:uid="{00000000-0005-0000-0000-000047040000}"/>
    <cellStyle name="Comma 9 3" xfId="169" xr:uid="{00000000-0005-0000-0000-000048040000}"/>
    <cellStyle name="Comma 9 4" xfId="170" xr:uid="{00000000-0005-0000-0000-000049040000}"/>
    <cellStyle name="Currency 2" xfId="335" xr:uid="{00000000-0005-0000-0000-00004A040000}"/>
    <cellStyle name="Dillernia=14" xfId="171" xr:uid="{00000000-0005-0000-0000-00004B040000}"/>
    <cellStyle name="Euro" xfId="172" xr:uid="{00000000-0005-0000-0000-00004C040000}"/>
    <cellStyle name="Euro 2" xfId="173" xr:uid="{00000000-0005-0000-0000-00004D040000}"/>
    <cellStyle name="Euro 2 10" xfId="1282" xr:uid="{00000000-0005-0000-0000-00004E040000}"/>
    <cellStyle name="Euro 2 11" xfId="1283" xr:uid="{00000000-0005-0000-0000-00004F040000}"/>
    <cellStyle name="Euro 2 2" xfId="174" xr:uid="{00000000-0005-0000-0000-000050040000}"/>
    <cellStyle name="Euro 2 3" xfId="1284" xr:uid="{00000000-0005-0000-0000-000051040000}"/>
    <cellStyle name="Euro 2 4" xfId="1285" xr:uid="{00000000-0005-0000-0000-000052040000}"/>
    <cellStyle name="Euro 2 5" xfId="1286" xr:uid="{00000000-0005-0000-0000-000053040000}"/>
    <cellStyle name="Euro 2 6" xfId="1287" xr:uid="{00000000-0005-0000-0000-000054040000}"/>
    <cellStyle name="Euro 2 7" xfId="1288" xr:uid="{00000000-0005-0000-0000-000055040000}"/>
    <cellStyle name="Euro 2 8" xfId="1289" xr:uid="{00000000-0005-0000-0000-000056040000}"/>
    <cellStyle name="Euro 2 9" xfId="1290" xr:uid="{00000000-0005-0000-0000-000057040000}"/>
    <cellStyle name="Euro 3" xfId="175" xr:uid="{00000000-0005-0000-0000-000058040000}"/>
    <cellStyle name="Euro 3 10" xfId="1291" xr:uid="{00000000-0005-0000-0000-000059040000}"/>
    <cellStyle name="Euro 3 11" xfId="1292" xr:uid="{00000000-0005-0000-0000-00005A040000}"/>
    <cellStyle name="Euro 3 2" xfId="176" xr:uid="{00000000-0005-0000-0000-00005B040000}"/>
    <cellStyle name="Euro 3 3" xfId="1293" xr:uid="{00000000-0005-0000-0000-00005C040000}"/>
    <cellStyle name="Euro 3 4" xfId="1294" xr:uid="{00000000-0005-0000-0000-00005D040000}"/>
    <cellStyle name="Euro 3 5" xfId="1295" xr:uid="{00000000-0005-0000-0000-00005E040000}"/>
    <cellStyle name="Euro 3 6" xfId="1296" xr:uid="{00000000-0005-0000-0000-00005F040000}"/>
    <cellStyle name="Euro 3 7" xfId="1297" xr:uid="{00000000-0005-0000-0000-000060040000}"/>
    <cellStyle name="Euro 3 8" xfId="1298" xr:uid="{00000000-0005-0000-0000-000061040000}"/>
    <cellStyle name="Euro 3 9" xfId="1299" xr:uid="{00000000-0005-0000-0000-000062040000}"/>
    <cellStyle name="Euro 4" xfId="177" xr:uid="{00000000-0005-0000-0000-000063040000}"/>
    <cellStyle name="Euro 4 10" xfId="1300" xr:uid="{00000000-0005-0000-0000-000064040000}"/>
    <cellStyle name="Euro 4 11" xfId="1301" xr:uid="{00000000-0005-0000-0000-000065040000}"/>
    <cellStyle name="Euro 4 2" xfId="178" xr:uid="{00000000-0005-0000-0000-000066040000}"/>
    <cellStyle name="Euro 4 3" xfId="1302" xr:uid="{00000000-0005-0000-0000-000067040000}"/>
    <cellStyle name="Euro 4 4" xfId="1303" xr:uid="{00000000-0005-0000-0000-000068040000}"/>
    <cellStyle name="Euro 4 5" xfId="1304" xr:uid="{00000000-0005-0000-0000-000069040000}"/>
    <cellStyle name="Euro 4 6" xfId="1305" xr:uid="{00000000-0005-0000-0000-00006A040000}"/>
    <cellStyle name="Euro 4 7" xfId="1306" xr:uid="{00000000-0005-0000-0000-00006B040000}"/>
    <cellStyle name="Euro 4 8" xfId="1307" xr:uid="{00000000-0005-0000-0000-00006C040000}"/>
    <cellStyle name="Euro 4 9" xfId="1308" xr:uid="{00000000-0005-0000-0000-00006D040000}"/>
    <cellStyle name="Explanatory Text" xfId="179" xr:uid="{00000000-0005-0000-0000-00006E040000}"/>
    <cellStyle name="Good" xfId="180" xr:uid="{00000000-0005-0000-0000-00006F040000}"/>
    <cellStyle name="Grey" xfId="181" xr:uid="{00000000-0005-0000-0000-000070040000}"/>
    <cellStyle name="Header1" xfId="182" xr:uid="{00000000-0005-0000-0000-000071040000}"/>
    <cellStyle name="Header2" xfId="183" xr:uid="{00000000-0005-0000-0000-000072040000}"/>
    <cellStyle name="Heading 1" xfId="184" xr:uid="{00000000-0005-0000-0000-000073040000}"/>
    <cellStyle name="Heading 2" xfId="185" xr:uid="{00000000-0005-0000-0000-000074040000}"/>
    <cellStyle name="Heading 3" xfId="186" xr:uid="{00000000-0005-0000-0000-000075040000}"/>
    <cellStyle name="Heading 4" xfId="187" xr:uid="{00000000-0005-0000-0000-000076040000}"/>
    <cellStyle name="Hyperlink 2" xfId="5" xr:uid="{00000000-0005-0000-0000-000077040000}"/>
    <cellStyle name="Input" xfId="188" xr:uid="{00000000-0005-0000-0000-000078040000}"/>
    <cellStyle name="Input [yellow]" xfId="189" xr:uid="{00000000-0005-0000-0000-000079040000}"/>
    <cellStyle name="Linked Cell" xfId="190" xr:uid="{00000000-0005-0000-0000-00007A040000}"/>
    <cellStyle name="Neutral" xfId="191" xr:uid="{00000000-0005-0000-0000-00007B040000}"/>
    <cellStyle name="no dec" xfId="192" xr:uid="{00000000-0005-0000-0000-00007C040000}"/>
    <cellStyle name="no dec 2" xfId="193" xr:uid="{00000000-0005-0000-0000-00007D040000}"/>
    <cellStyle name="no dec 2 10" xfId="1309" xr:uid="{00000000-0005-0000-0000-00007E040000}"/>
    <cellStyle name="no dec 2 11" xfId="1310" xr:uid="{00000000-0005-0000-0000-00007F040000}"/>
    <cellStyle name="no dec 2 2" xfId="194" xr:uid="{00000000-0005-0000-0000-000080040000}"/>
    <cellStyle name="no dec 2 3" xfId="1311" xr:uid="{00000000-0005-0000-0000-000081040000}"/>
    <cellStyle name="no dec 2 4" xfId="1312" xr:uid="{00000000-0005-0000-0000-000082040000}"/>
    <cellStyle name="no dec 2 5" xfId="1313" xr:uid="{00000000-0005-0000-0000-000083040000}"/>
    <cellStyle name="no dec 2 6" xfId="1314" xr:uid="{00000000-0005-0000-0000-000084040000}"/>
    <cellStyle name="no dec 2 7" xfId="1315" xr:uid="{00000000-0005-0000-0000-000085040000}"/>
    <cellStyle name="no dec 2 8" xfId="1316" xr:uid="{00000000-0005-0000-0000-000086040000}"/>
    <cellStyle name="no dec 2 9" xfId="1317" xr:uid="{00000000-0005-0000-0000-000087040000}"/>
    <cellStyle name="no dec 3" xfId="195" xr:uid="{00000000-0005-0000-0000-000088040000}"/>
    <cellStyle name="no dec 3 10" xfId="1318" xr:uid="{00000000-0005-0000-0000-000089040000}"/>
    <cellStyle name="no dec 3 11" xfId="1319" xr:uid="{00000000-0005-0000-0000-00008A040000}"/>
    <cellStyle name="no dec 3 2" xfId="196" xr:uid="{00000000-0005-0000-0000-00008B040000}"/>
    <cellStyle name="no dec 3 3" xfId="1320" xr:uid="{00000000-0005-0000-0000-00008C040000}"/>
    <cellStyle name="no dec 3 4" xfId="1321" xr:uid="{00000000-0005-0000-0000-00008D040000}"/>
    <cellStyle name="no dec 3 5" xfId="1322" xr:uid="{00000000-0005-0000-0000-00008E040000}"/>
    <cellStyle name="no dec 3 6" xfId="1323" xr:uid="{00000000-0005-0000-0000-00008F040000}"/>
    <cellStyle name="no dec 3 7" xfId="1324" xr:uid="{00000000-0005-0000-0000-000090040000}"/>
    <cellStyle name="no dec 3 8" xfId="1325" xr:uid="{00000000-0005-0000-0000-000091040000}"/>
    <cellStyle name="no dec 3 9" xfId="1326" xr:uid="{00000000-0005-0000-0000-000092040000}"/>
    <cellStyle name="no dec 4" xfId="197" xr:uid="{00000000-0005-0000-0000-000093040000}"/>
    <cellStyle name="no dec 4 10" xfId="1327" xr:uid="{00000000-0005-0000-0000-000094040000}"/>
    <cellStyle name="no dec 4 11" xfId="1328" xr:uid="{00000000-0005-0000-0000-000095040000}"/>
    <cellStyle name="no dec 4 2" xfId="198" xr:uid="{00000000-0005-0000-0000-000096040000}"/>
    <cellStyle name="no dec 4 3" xfId="1329" xr:uid="{00000000-0005-0000-0000-000097040000}"/>
    <cellStyle name="no dec 4 4" xfId="1330" xr:uid="{00000000-0005-0000-0000-000098040000}"/>
    <cellStyle name="no dec 4 5" xfId="1331" xr:uid="{00000000-0005-0000-0000-000099040000}"/>
    <cellStyle name="no dec 4 6" xfId="1332" xr:uid="{00000000-0005-0000-0000-00009A040000}"/>
    <cellStyle name="no dec 4 7" xfId="1333" xr:uid="{00000000-0005-0000-0000-00009B040000}"/>
    <cellStyle name="no dec 4 8" xfId="1334" xr:uid="{00000000-0005-0000-0000-00009C040000}"/>
    <cellStyle name="no dec 4 9" xfId="1335" xr:uid="{00000000-0005-0000-0000-00009D040000}"/>
    <cellStyle name="Normal" xfId="0" builtinId="0"/>
    <cellStyle name="Normal - Style1" xfId="199" xr:uid="{00000000-0005-0000-0000-00009E040000}"/>
    <cellStyle name="Normal 10" xfId="336" xr:uid="{00000000-0005-0000-0000-00009F040000}"/>
    <cellStyle name="Normal 12" xfId="2232" xr:uid="{00000000-0005-0000-0000-0000A0040000}"/>
    <cellStyle name="Normal 2" xfId="6" xr:uid="{00000000-0005-0000-0000-0000A1040000}"/>
    <cellStyle name="Normal 2 2" xfId="7" xr:uid="{00000000-0005-0000-0000-0000A2040000}"/>
    <cellStyle name="Normal 2 3" xfId="200" xr:uid="{00000000-0005-0000-0000-0000A3040000}"/>
    <cellStyle name="Normal 2 4" xfId="2248" xr:uid="{00000000-0005-0000-0000-0000A4040000}"/>
    <cellStyle name="Normal 3" xfId="8" xr:uid="{00000000-0005-0000-0000-0000A5040000}"/>
    <cellStyle name="Normal 4" xfId="201" xr:uid="{00000000-0005-0000-0000-0000A6040000}"/>
    <cellStyle name="Normal 4 10" xfId="202" xr:uid="{00000000-0005-0000-0000-0000A7040000}"/>
    <cellStyle name="Normal 4 11" xfId="1336" xr:uid="{00000000-0005-0000-0000-0000A8040000}"/>
    <cellStyle name="Normal 4 12" xfId="1337" xr:uid="{00000000-0005-0000-0000-0000A9040000}"/>
    <cellStyle name="Normal 4 13" xfId="1338" xr:uid="{00000000-0005-0000-0000-0000AA040000}"/>
    <cellStyle name="Normal 4 14" xfId="1339" xr:uid="{00000000-0005-0000-0000-0000AB040000}"/>
    <cellStyle name="Normal 4 15" xfId="1340" xr:uid="{00000000-0005-0000-0000-0000AC040000}"/>
    <cellStyle name="Normal 4 16" xfId="1341" xr:uid="{00000000-0005-0000-0000-0000AD040000}"/>
    <cellStyle name="Normal 4 17" xfId="1342" xr:uid="{00000000-0005-0000-0000-0000AE040000}"/>
    <cellStyle name="Normal 4 18" xfId="1343" xr:uid="{00000000-0005-0000-0000-0000AF040000}"/>
    <cellStyle name="Normal 4 19" xfId="1344" xr:uid="{00000000-0005-0000-0000-0000B0040000}"/>
    <cellStyle name="Normal 4 2" xfId="203" xr:uid="{00000000-0005-0000-0000-0000B1040000}"/>
    <cellStyle name="Normal 4 3" xfId="204" xr:uid="{00000000-0005-0000-0000-0000B2040000}"/>
    <cellStyle name="Normal 4 4" xfId="205" xr:uid="{00000000-0005-0000-0000-0000B3040000}"/>
    <cellStyle name="Normal 4 5" xfId="206" xr:uid="{00000000-0005-0000-0000-0000B4040000}"/>
    <cellStyle name="Normal 4 6" xfId="207" xr:uid="{00000000-0005-0000-0000-0000B5040000}"/>
    <cellStyle name="Normal 4 7" xfId="208" xr:uid="{00000000-0005-0000-0000-0000B6040000}"/>
    <cellStyle name="Normal 4 8" xfId="209" xr:uid="{00000000-0005-0000-0000-0000B7040000}"/>
    <cellStyle name="Normal 4 9" xfId="210" xr:uid="{00000000-0005-0000-0000-0000B8040000}"/>
    <cellStyle name="Normal 4_BOQ-FINAL BYx22122012" xfId="211" xr:uid="{00000000-0005-0000-0000-0000B9040000}"/>
    <cellStyle name="Normal 5" xfId="212" xr:uid="{00000000-0005-0000-0000-0000BA040000}"/>
    <cellStyle name="Normal 5 10" xfId="1345" xr:uid="{00000000-0005-0000-0000-0000BB040000}"/>
    <cellStyle name="Normal 5 11" xfId="1346" xr:uid="{00000000-0005-0000-0000-0000BC040000}"/>
    <cellStyle name="Normal 5 12" xfId="1347" xr:uid="{00000000-0005-0000-0000-0000BD040000}"/>
    <cellStyle name="Normal 5 13" xfId="1348" xr:uid="{00000000-0005-0000-0000-0000BE040000}"/>
    <cellStyle name="Normal 5 14" xfId="1349" xr:uid="{00000000-0005-0000-0000-0000BF040000}"/>
    <cellStyle name="Normal 5 15" xfId="1350" xr:uid="{00000000-0005-0000-0000-0000C0040000}"/>
    <cellStyle name="Normal 5 16" xfId="1351" xr:uid="{00000000-0005-0000-0000-0000C1040000}"/>
    <cellStyle name="Normal 5 17" xfId="1352" xr:uid="{00000000-0005-0000-0000-0000C2040000}"/>
    <cellStyle name="Normal 5 18" xfId="1353" xr:uid="{00000000-0005-0000-0000-0000C3040000}"/>
    <cellStyle name="Normal 5 2" xfId="213" xr:uid="{00000000-0005-0000-0000-0000C4040000}"/>
    <cellStyle name="Normal 5 2 10" xfId="1354" xr:uid="{00000000-0005-0000-0000-0000C5040000}"/>
    <cellStyle name="Normal 5 2 11" xfId="1355" xr:uid="{00000000-0005-0000-0000-0000C6040000}"/>
    <cellStyle name="Normal 5 2 2" xfId="1356" xr:uid="{00000000-0005-0000-0000-0000C7040000}"/>
    <cellStyle name="Normal 5 2 2 10" xfId="1357" xr:uid="{00000000-0005-0000-0000-0000C8040000}"/>
    <cellStyle name="Normal 5 2 2 2" xfId="1358" xr:uid="{00000000-0005-0000-0000-0000C9040000}"/>
    <cellStyle name="Normal 5 2 2 3" xfId="1359" xr:uid="{00000000-0005-0000-0000-0000CA040000}"/>
    <cellStyle name="Normal 5 2 2 4" xfId="1360" xr:uid="{00000000-0005-0000-0000-0000CB040000}"/>
    <cellStyle name="Normal 5 2 2 5" xfId="1361" xr:uid="{00000000-0005-0000-0000-0000CC040000}"/>
    <cellStyle name="Normal 5 2 2 6" xfId="1362" xr:uid="{00000000-0005-0000-0000-0000CD040000}"/>
    <cellStyle name="Normal 5 2 2 7" xfId="1363" xr:uid="{00000000-0005-0000-0000-0000CE040000}"/>
    <cellStyle name="Normal 5 2 2 8" xfId="1364" xr:uid="{00000000-0005-0000-0000-0000CF040000}"/>
    <cellStyle name="Normal 5 2 2 9" xfId="1365" xr:uid="{00000000-0005-0000-0000-0000D0040000}"/>
    <cellStyle name="Normal 5 2 3" xfId="1366" xr:uid="{00000000-0005-0000-0000-0000D1040000}"/>
    <cellStyle name="Normal 5 2 4" xfId="1367" xr:uid="{00000000-0005-0000-0000-0000D2040000}"/>
    <cellStyle name="Normal 5 2 5" xfId="1368" xr:uid="{00000000-0005-0000-0000-0000D3040000}"/>
    <cellStyle name="Normal 5 2 6" xfId="1369" xr:uid="{00000000-0005-0000-0000-0000D4040000}"/>
    <cellStyle name="Normal 5 2 7" xfId="1370" xr:uid="{00000000-0005-0000-0000-0000D5040000}"/>
    <cellStyle name="Normal 5 2 8" xfId="1371" xr:uid="{00000000-0005-0000-0000-0000D6040000}"/>
    <cellStyle name="Normal 5 2 9" xfId="1372" xr:uid="{00000000-0005-0000-0000-0000D7040000}"/>
    <cellStyle name="Normal 5 3" xfId="214" xr:uid="{00000000-0005-0000-0000-0000D8040000}"/>
    <cellStyle name="Normal 5 3 10" xfId="1373" xr:uid="{00000000-0005-0000-0000-0000D9040000}"/>
    <cellStyle name="Normal 5 3 11" xfId="1374" xr:uid="{00000000-0005-0000-0000-0000DA040000}"/>
    <cellStyle name="Normal 5 3 2" xfId="1375" xr:uid="{00000000-0005-0000-0000-0000DB040000}"/>
    <cellStyle name="Normal 5 3 2 10" xfId="1376" xr:uid="{00000000-0005-0000-0000-0000DC040000}"/>
    <cellStyle name="Normal 5 3 2 2" xfId="1377" xr:uid="{00000000-0005-0000-0000-0000DD040000}"/>
    <cellStyle name="Normal 5 3 2 3" xfId="1378" xr:uid="{00000000-0005-0000-0000-0000DE040000}"/>
    <cellStyle name="Normal 5 3 2 4" xfId="1379" xr:uid="{00000000-0005-0000-0000-0000DF040000}"/>
    <cellStyle name="Normal 5 3 2 5" xfId="1380" xr:uid="{00000000-0005-0000-0000-0000E0040000}"/>
    <cellStyle name="Normal 5 3 2 6" xfId="1381" xr:uid="{00000000-0005-0000-0000-0000E1040000}"/>
    <cellStyle name="Normal 5 3 2 7" xfId="1382" xr:uid="{00000000-0005-0000-0000-0000E2040000}"/>
    <cellStyle name="Normal 5 3 2 8" xfId="1383" xr:uid="{00000000-0005-0000-0000-0000E3040000}"/>
    <cellStyle name="Normal 5 3 2 9" xfId="1384" xr:uid="{00000000-0005-0000-0000-0000E4040000}"/>
    <cellStyle name="Normal 5 3 3" xfId="1385" xr:uid="{00000000-0005-0000-0000-0000E5040000}"/>
    <cellStyle name="Normal 5 3 4" xfId="1386" xr:uid="{00000000-0005-0000-0000-0000E6040000}"/>
    <cellStyle name="Normal 5 3 5" xfId="1387" xr:uid="{00000000-0005-0000-0000-0000E7040000}"/>
    <cellStyle name="Normal 5 3 6" xfId="1388" xr:uid="{00000000-0005-0000-0000-0000E8040000}"/>
    <cellStyle name="Normal 5 3 7" xfId="1389" xr:uid="{00000000-0005-0000-0000-0000E9040000}"/>
    <cellStyle name="Normal 5 3 8" xfId="1390" xr:uid="{00000000-0005-0000-0000-0000EA040000}"/>
    <cellStyle name="Normal 5 3 9" xfId="1391" xr:uid="{00000000-0005-0000-0000-0000EB040000}"/>
    <cellStyle name="Normal 5 4" xfId="215" xr:uid="{00000000-0005-0000-0000-0000EC040000}"/>
    <cellStyle name="Normal 5 4 10" xfId="1392" xr:uid="{00000000-0005-0000-0000-0000ED040000}"/>
    <cellStyle name="Normal 5 4 11" xfId="1393" xr:uid="{00000000-0005-0000-0000-0000EE040000}"/>
    <cellStyle name="Normal 5 4 2" xfId="1394" xr:uid="{00000000-0005-0000-0000-0000EF040000}"/>
    <cellStyle name="Normal 5 4 2 10" xfId="1395" xr:uid="{00000000-0005-0000-0000-0000F0040000}"/>
    <cellStyle name="Normal 5 4 2 2" xfId="1396" xr:uid="{00000000-0005-0000-0000-0000F1040000}"/>
    <cellStyle name="Normal 5 4 2 3" xfId="1397" xr:uid="{00000000-0005-0000-0000-0000F2040000}"/>
    <cellStyle name="Normal 5 4 2 4" xfId="1398" xr:uid="{00000000-0005-0000-0000-0000F3040000}"/>
    <cellStyle name="Normal 5 4 2 5" xfId="1399" xr:uid="{00000000-0005-0000-0000-0000F4040000}"/>
    <cellStyle name="Normal 5 4 2 6" xfId="1400" xr:uid="{00000000-0005-0000-0000-0000F5040000}"/>
    <cellStyle name="Normal 5 4 2 7" xfId="1401" xr:uid="{00000000-0005-0000-0000-0000F6040000}"/>
    <cellStyle name="Normal 5 4 2 8" xfId="1402" xr:uid="{00000000-0005-0000-0000-0000F7040000}"/>
    <cellStyle name="Normal 5 4 2 9" xfId="1403" xr:uid="{00000000-0005-0000-0000-0000F8040000}"/>
    <cellStyle name="Normal 5 4 3" xfId="1404" xr:uid="{00000000-0005-0000-0000-0000F9040000}"/>
    <cellStyle name="Normal 5 4 4" xfId="1405" xr:uid="{00000000-0005-0000-0000-0000FA040000}"/>
    <cellStyle name="Normal 5 4 5" xfId="1406" xr:uid="{00000000-0005-0000-0000-0000FB040000}"/>
    <cellStyle name="Normal 5 4 6" xfId="1407" xr:uid="{00000000-0005-0000-0000-0000FC040000}"/>
    <cellStyle name="Normal 5 4 7" xfId="1408" xr:uid="{00000000-0005-0000-0000-0000FD040000}"/>
    <cellStyle name="Normal 5 4 8" xfId="1409" xr:uid="{00000000-0005-0000-0000-0000FE040000}"/>
    <cellStyle name="Normal 5 4 9" xfId="1410" xr:uid="{00000000-0005-0000-0000-0000FF040000}"/>
    <cellStyle name="Normal 5 5" xfId="216" xr:uid="{00000000-0005-0000-0000-000000050000}"/>
    <cellStyle name="Normal 5 5 10" xfId="1411" xr:uid="{00000000-0005-0000-0000-000001050000}"/>
    <cellStyle name="Normal 5 5 11" xfId="1412" xr:uid="{00000000-0005-0000-0000-000002050000}"/>
    <cellStyle name="Normal 5 5 2" xfId="1413" xr:uid="{00000000-0005-0000-0000-000003050000}"/>
    <cellStyle name="Normal 5 5 2 10" xfId="1414" xr:uid="{00000000-0005-0000-0000-000004050000}"/>
    <cellStyle name="Normal 5 5 2 2" xfId="1415" xr:uid="{00000000-0005-0000-0000-000005050000}"/>
    <cellStyle name="Normal 5 5 2 3" xfId="1416" xr:uid="{00000000-0005-0000-0000-000006050000}"/>
    <cellStyle name="Normal 5 5 2 4" xfId="1417" xr:uid="{00000000-0005-0000-0000-000007050000}"/>
    <cellStyle name="Normal 5 5 2 5" xfId="1418" xr:uid="{00000000-0005-0000-0000-000008050000}"/>
    <cellStyle name="Normal 5 5 2 6" xfId="1419" xr:uid="{00000000-0005-0000-0000-000009050000}"/>
    <cellStyle name="Normal 5 5 2 7" xfId="1420" xr:uid="{00000000-0005-0000-0000-00000A050000}"/>
    <cellStyle name="Normal 5 5 2 8" xfId="1421" xr:uid="{00000000-0005-0000-0000-00000B050000}"/>
    <cellStyle name="Normal 5 5 2 9" xfId="1422" xr:uid="{00000000-0005-0000-0000-00000C050000}"/>
    <cellStyle name="Normal 5 5 3" xfId="1423" xr:uid="{00000000-0005-0000-0000-00000D050000}"/>
    <cellStyle name="Normal 5 5 4" xfId="1424" xr:uid="{00000000-0005-0000-0000-00000E050000}"/>
    <cellStyle name="Normal 5 5 5" xfId="1425" xr:uid="{00000000-0005-0000-0000-00000F050000}"/>
    <cellStyle name="Normal 5 5 6" xfId="1426" xr:uid="{00000000-0005-0000-0000-000010050000}"/>
    <cellStyle name="Normal 5 5 7" xfId="1427" xr:uid="{00000000-0005-0000-0000-000011050000}"/>
    <cellStyle name="Normal 5 5 8" xfId="1428" xr:uid="{00000000-0005-0000-0000-000012050000}"/>
    <cellStyle name="Normal 5 5 9" xfId="1429" xr:uid="{00000000-0005-0000-0000-000013050000}"/>
    <cellStyle name="Normal 5 6" xfId="217" xr:uid="{00000000-0005-0000-0000-000014050000}"/>
    <cellStyle name="Normal 5 6 10" xfId="1430" xr:uid="{00000000-0005-0000-0000-000015050000}"/>
    <cellStyle name="Normal 5 6 11" xfId="1431" xr:uid="{00000000-0005-0000-0000-000016050000}"/>
    <cellStyle name="Normal 5 6 2" xfId="1432" xr:uid="{00000000-0005-0000-0000-000017050000}"/>
    <cellStyle name="Normal 5 6 2 10" xfId="1433" xr:uid="{00000000-0005-0000-0000-000018050000}"/>
    <cellStyle name="Normal 5 6 2 2" xfId="1434" xr:uid="{00000000-0005-0000-0000-000019050000}"/>
    <cellStyle name="Normal 5 6 2 3" xfId="1435" xr:uid="{00000000-0005-0000-0000-00001A050000}"/>
    <cellStyle name="Normal 5 6 2 4" xfId="1436" xr:uid="{00000000-0005-0000-0000-00001B050000}"/>
    <cellStyle name="Normal 5 6 2 5" xfId="1437" xr:uid="{00000000-0005-0000-0000-00001C050000}"/>
    <cellStyle name="Normal 5 6 2 6" xfId="1438" xr:uid="{00000000-0005-0000-0000-00001D050000}"/>
    <cellStyle name="Normal 5 6 2 7" xfId="1439" xr:uid="{00000000-0005-0000-0000-00001E050000}"/>
    <cellStyle name="Normal 5 6 2 8" xfId="1440" xr:uid="{00000000-0005-0000-0000-00001F050000}"/>
    <cellStyle name="Normal 5 6 2 9" xfId="1441" xr:uid="{00000000-0005-0000-0000-000020050000}"/>
    <cellStyle name="Normal 5 6 3" xfId="1442" xr:uid="{00000000-0005-0000-0000-000021050000}"/>
    <cellStyle name="Normal 5 6 4" xfId="1443" xr:uid="{00000000-0005-0000-0000-000022050000}"/>
    <cellStyle name="Normal 5 6 5" xfId="1444" xr:uid="{00000000-0005-0000-0000-000023050000}"/>
    <cellStyle name="Normal 5 6 6" xfId="1445" xr:uid="{00000000-0005-0000-0000-000024050000}"/>
    <cellStyle name="Normal 5 6 7" xfId="1446" xr:uid="{00000000-0005-0000-0000-000025050000}"/>
    <cellStyle name="Normal 5 6 8" xfId="1447" xr:uid="{00000000-0005-0000-0000-000026050000}"/>
    <cellStyle name="Normal 5 6 9" xfId="1448" xr:uid="{00000000-0005-0000-0000-000027050000}"/>
    <cellStyle name="Normal 5 7" xfId="218" xr:uid="{00000000-0005-0000-0000-000028050000}"/>
    <cellStyle name="Normal 5 7 10" xfId="1449" xr:uid="{00000000-0005-0000-0000-000029050000}"/>
    <cellStyle name="Normal 5 7 11" xfId="1450" xr:uid="{00000000-0005-0000-0000-00002A050000}"/>
    <cellStyle name="Normal 5 7 2" xfId="1451" xr:uid="{00000000-0005-0000-0000-00002B050000}"/>
    <cellStyle name="Normal 5 7 2 10" xfId="1452" xr:uid="{00000000-0005-0000-0000-00002C050000}"/>
    <cellStyle name="Normal 5 7 2 2" xfId="1453" xr:uid="{00000000-0005-0000-0000-00002D050000}"/>
    <cellStyle name="Normal 5 7 2 3" xfId="1454" xr:uid="{00000000-0005-0000-0000-00002E050000}"/>
    <cellStyle name="Normal 5 7 2 4" xfId="1455" xr:uid="{00000000-0005-0000-0000-00002F050000}"/>
    <cellStyle name="Normal 5 7 2 5" xfId="1456" xr:uid="{00000000-0005-0000-0000-000030050000}"/>
    <cellStyle name="Normal 5 7 2 6" xfId="1457" xr:uid="{00000000-0005-0000-0000-000031050000}"/>
    <cellStyle name="Normal 5 7 2 7" xfId="1458" xr:uid="{00000000-0005-0000-0000-000032050000}"/>
    <cellStyle name="Normal 5 7 2 8" xfId="1459" xr:uid="{00000000-0005-0000-0000-000033050000}"/>
    <cellStyle name="Normal 5 7 2 9" xfId="1460" xr:uid="{00000000-0005-0000-0000-000034050000}"/>
    <cellStyle name="Normal 5 7 3" xfId="1461" xr:uid="{00000000-0005-0000-0000-000035050000}"/>
    <cellStyle name="Normal 5 7 4" xfId="1462" xr:uid="{00000000-0005-0000-0000-000036050000}"/>
    <cellStyle name="Normal 5 7 5" xfId="1463" xr:uid="{00000000-0005-0000-0000-000037050000}"/>
    <cellStyle name="Normal 5 7 6" xfId="1464" xr:uid="{00000000-0005-0000-0000-000038050000}"/>
    <cellStyle name="Normal 5 7 7" xfId="1465" xr:uid="{00000000-0005-0000-0000-000039050000}"/>
    <cellStyle name="Normal 5 7 8" xfId="1466" xr:uid="{00000000-0005-0000-0000-00003A050000}"/>
    <cellStyle name="Normal 5 7 9" xfId="1467" xr:uid="{00000000-0005-0000-0000-00003B050000}"/>
    <cellStyle name="Normal 5 8" xfId="219" xr:uid="{00000000-0005-0000-0000-00003C050000}"/>
    <cellStyle name="Normal 5 8 10" xfId="1468" xr:uid="{00000000-0005-0000-0000-00003D050000}"/>
    <cellStyle name="Normal 5 8 11" xfId="1469" xr:uid="{00000000-0005-0000-0000-00003E050000}"/>
    <cellStyle name="Normal 5 8 2" xfId="1470" xr:uid="{00000000-0005-0000-0000-00003F050000}"/>
    <cellStyle name="Normal 5 8 2 10" xfId="1471" xr:uid="{00000000-0005-0000-0000-000040050000}"/>
    <cellStyle name="Normal 5 8 2 2" xfId="1472" xr:uid="{00000000-0005-0000-0000-000041050000}"/>
    <cellStyle name="Normal 5 8 2 3" xfId="1473" xr:uid="{00000000-0005-0000-0000-000042050000}"/>
    <cellStyle name="Normal 5 8 2 4" xfId="1474" xr:uid="{00000000-0005-0000-0000-000043050000}"/>
    <cellStyle name="Normal 5 8 2 5" xfId="1475" xr:uid="{00000000-0005-0000-0000-000044050000}"/>
    <cellStyle name="Normal 5 8 2 6" xfId="1476" xr:uid="{00000000-0005-0000-0000-000045050000}"/>
    <cellStyle name="Normal 5 8 2 7" xfId="1477" xr:uid="{00000000-0005-0000-0000-000046050000}"/>
    <cellStyle name="Normal 5 8 2 8" xfId="1478" xr:uid="{00000000-0005-0000-0000-000047050000}"/>
    <cellStyle name="Normal 5 8 2 9" xfId="1479" xr:uid="{00000000-0005-0000-0000-000048050000}"/>
    <cellStyle name="Normal 5 8 3" xfId="1480" xr:uid="{00000000-0005-0000-0000-000049050000}"/>
    <cellStyle name="Normal 5 8 4" xfId="1481" xr:uid="{00000000-0005-0000-0000-00004A050000}"/>
    <cellStyle name="Normal 5 8 5" xfId="1482" xr:uid="{00000000-0005-0000-0000-00004B050000}"/>
    <cellStyle name="Normal 5 8 6" xfId="1483" xr:uid="{00000000-0005-0000-0000-00004C050000}"/>
    <cellStyle name="Normal 5 8 7" xfId="1484" xr:uid="{00000000-0005-0000-0000-00004D050000}"/>
    <cellStyle name="Normal 5 8 8" xfId="1485" xr:uid="{00000000-0005-0000-0000-00004E050000}"/>
    <cellStyle name="Normal 5 8 9" xfId="1486" xr:uid="{00000000-0005-0000-0000-00004F050000}"/>
    <cellStyle name="Normal 5 9" xfId="1487" xr:uid="{00000000-0005-0000-0000-000050050000}"/>
    <cellStyle name="Normal 5 9 10" xfId="1488" xr:uid="{00000000-0005-0000-0000-000051050000}"/>
    <cellStyle name="Normal 5 9 2" xfId="1489" xr:uid="{00000000-0005-0000-0000-000052050000}"/>
    <cellStyle name="Normal 5 9 3" xfId="1490" xr:uid="{00000000-0005-0000-0000-000053050000}"/>
    <cellStyle name="Normal 5 9 4" xfId="1491" xr:uid="{00000000-0005-0000-0000-000054050000}"/>
    <cellStyle name="Normal 5 9 5" xfId="1492" xr:uid="{00000000-0005-0000-0000-000055050000}"/>
    <cellStyle name="Normal 5 9 6" xfId="1493" xr:uid="{00000000-0005-0000-0000-000056050000}"/>
    <cellStyle name="Normal 5 9 7" xfId="1494" xr:uid="{00000000-0005-0000-0000-000057050000}"/>
    <cellStyle name="Normal 5 9 8" xfId="1495" xr:uid="{00000000-0005-0000-0000-000058050000}"/>
    <cellStyle name="Normal 5 9 9" xfId="1496" xr:uid="{00000000-0005-0000-0000-000059050000}"/>
    <cellStyle name="Normal 6" xfId="220" xr:uid="{00000000-0005-0000-0000-00005A050000}"/>
    <cellStyle name="Normal 6 2" xfId="221" xr:uid="{00000000-0005-0000-0000-00005B050000}"/>
    <cellStyle name="Normal 6 2 10" xfId="1497" xr:uid="{00000000-0005-0000-0000-00005C050000}"/>
    <cellStyle name="Normal 6 2 11" xfId="1498" xr:uid="{00000000-0005-0000-0000-00005D050000}"/>
    <cellStyle name="Normal 6 2 12" xfId="1499" xr:uid="{00000000-0005-0000-0000-00005E050000}"/>
    <cellStyle name="Normal 6 2 13" xfId="1500" xr:uid="{00000000-0005-0000-0000-00005F050000}"/>
    <cellStyle name="Normal 6 2 14" xfId="1501" xr:uid="{00000000-0005-0000-0000-000060050000}"/>
    <cellStyle name="Normal 6 2 2" xfId="222" xr:uid="{00000000-0005-0000-0000-000061050000}"/>
    <cellStyle name="Normal 6 2 2 10" xfId="1502" xr:uid="{00000000-0005-0000-0000-000062050000}"/>
    <cellStyle name="Normal 6 2 2 11" xfId="1503" xr:uid="{00000000-0005-0000-0000-000063050000}"/>
    <cellStyle name="Normal 6 2 2 12" xfId="1504" xr:uid="{00000000-0005-0000-0000-000064050000}"/>
    <cellStyle name="Normal 6 2 2 2" xfId="223" xr:uid="{00000000-0005-0000-0000-000065050000}"/>
    <cellStyle name="Normal 6 2 2 2 10" xfId="1505" xr:uid="{00000000-0005-0000-0000-000066050000}"/>
    <cellStyle name="Normal 6 2 2 2 11" xfId="1506" xr:uid="{00000000-0005-0000-0000-000067050000}"/>
    <cellStyle name="Normal 6 2 2 2 2" xfId="1507" xr:uid="{00000000-0005-0000-0000-000068050000}"/>
    <cellStyle name="Normal 6 2 2 2 2 10" xfId="1508" xr:uid="{00000000-0005-0000-0000-000069050000}"/>
    <cellStyle name="Normal 6 2 2 2 2 2" xfId="1509" xr:uid="{00000000-0005-0000-0000-00006A050000}"/>
    <cellStyle name="Normal 6 2 2 2 2 3" xfId="1510" xr:uid="{00000000-0005-0000-0000-00006B050000}"/>
    <cellStyle name="Normal 6 2 2 2 2 4" xfId="1511" xr:uid="{00000000-0005-0000-0000-00006C050000}"/>
    <cellStyle name="Normal 6 2 2 2 2 5" xfId="1512" xr:uid="{00000000-0005-0000-0000-00006D050000}"/>
    <cellStyle name="Normal 6 2 2 2 2 6" xfId="1513" xr:uid="{00000000-0005-0000-0000-00006E050000}"/>
    <cellStyle name="Normal 6 2 2 2 2 7" xfId="1514" xr:uid="{00000000-0005-0000-0000-00006F050000}"/>
    <cellStyle name="Normal 6 2 2 2 2 8" xfId="1515" xr:uid="{00000000-0005-0000-0000-000070050000}"/>
    <cellStyle name="Normal 6 2 2 2 2 9" xfId="1516" xr:uid="{00000000-0005-0000-0000-000071050000}"/>
    <cellStyle name="Normal 6 2 2 2 3" xfId="1517" xr:uid="{00000000-0005-0000-0000-000072050000}"/>
    <cellStyle name="Normal 6 2 2 2 4" xfId="1518" xr:uid="{00000000-0005-0000-0000-000073050000}"/>
    <cellStyle name="Normal 6 2 2 2 5" xfId="1519" xr:uid="{00000000-0005-0000-0000-000074050000}"/>
    <cellStyle name="Normal 6 2 2 2 6" xfId="1520" xr:uid="{00000000-0005-0000-0000-000075050000}"/>
    <cellStyle name="Normal 6 2 2 2 7" xfId="1521" xr:uid="{00000000-0005-0000-0000-000076050000}"/>
    <cellStyle name="Normal 6 2 2 2 8" xfId="1522" xr:uid="{00000000-0005-0000-0000-000077050000}"/>
    <cellStyle name="Normal 6 2 2 2 9" xfId="1523" xr:uid="{00000000-0005-0000-0000-000078050000}"/>
    <cellStyle name="Normal 6 2 2 3" xfId="1524" xr:uid="{00000000-0005-0000-0000-000079050000}"/>
    <cellStyle name="Normal 6 2 2 3 10" xfId="1525" xr:uid="{00000000-0005-0000-0000-00007A050000}"/>
    <cellStyle name="Normal 6 2 2 3 2" xfId="1526" xr:uid="{00000000-0005-0000-0000-00007B050000}"/>
    <cellStyle name="Normal 6 2 2 3 3" xfId="1527" xr:uid="{00000000-0005-0000-0000-00007C050000}"/>
    <cellStyle name="Normal 6 2 2 3 4" xfId="1528" xr:uid="{00000000-0005-0000-0000-00007D050000}"/>
    <cellStyle name="Normal 6 2 2 3 5" xfId="1529" xr:uid="{00000000-0005-0000-0000-00007E050000}"/>
    <cellStyle name="Normal 6 2 2 3 6" xfId="1530" xr:uid="{00000000-0005-0000-0000-00007F050000}"/>
    <cellStyle name="Normal 6 2 2 3 7" xfId="1531" xr:uid="{00000000-0005-0000-0000-000080050000}"/>
    <cellStyle name="Normal 6 2 2 3 8" xfId="1532" xr:uid="{00000000-0005-0000-0000-000081050000}"/>
    <cellStyle name="Normal 6 2 2 3 9" xfId="1533" xr:uid="{00000000-0005-0000-0000-000082050000}"/>
    <cellStyle name="Normal 6 2 2 4" xfId="1534" xr:uid="{00000000-0005-0000-0000-000083050000}"/>
    <cellStyle name="Normal 6 2 2 5" xfId="1535" xr:uid="{00000000-0005-0000-0000-000084050000}"/>
    <cellStyle name="Normal 6 2 2 6" xfId="1536" xr:uid="{00000000-0005-0000-0000-000085050000}"/>
    <cellStyle name="Normal 6 2 2 7" xfId="1537" xr:uid="{00000000-0005-0000-0000-000086050000}"/>
    <cellStyle name="Normal 6 2 2 8" xfId="1538" xr:uid="{00000000-0005-0000-0000-000087050000}"/>
    <cellStyle name="Normal 6 2 2 9" xfId="1539" xr:uid="{00000000-0005-0000-0000-000088050000}"/>
    <cellStyle name="Normal 6 2 3" xfId="224" xr:uid="{00000000-0005-0000-0000-000089050000}"/>
    <cellStyle name="Normal 6 2 3 10" xfId="1540" xr:uid="{00000000-0005-0000-0000-00008A050000}"/>
    <cellStyle name="Normal 6 2 3 11" xfId="1541" xr:uid="{00000000-0005-0000-0000-00008B050000}"/>
    <cellStyle name="Normal 6 2 3 12" xfId="1542" xr:uid="{00000000-0005-0000-0000-00008C050000}"/>
    <cellStyle name="Normal 6 2 3 2" xfId="225" xr:uid="{00000000-0005-0000-0000-00008D050000}"/>
    <cellStyle name="Normal 6 2 3 2 10" xfId="1543" xr:uid="{00000000-0005-0000-0000-00008E050000}"/>
    <cellStyle name="Normal 6 2 3 2 11" xfId="1544" xr:uid="{00000000-0005-0000-0000-00008F050000}"/>
    <cellStyle name="Normal 6 2 3 2 2" xfId="1545" xr:uid="{00000000-0005-0000-0000-000090050000}"/>
    <cellStyle name="Normal 6 2 3 2 2 10" xfId="1546" xr:uid="{00000000-0005-0000-0000-000091050000}"/>
    <cellStyle name="Normal 6 2 3 2 2 2" xfId="1547" xr:uid="{00000000-0005-0000-0000-000092050000}"/>
    <cellStyle name="Normal 6 2 3 2 2 3" xfId="1548" xr:uid="{00000000-0005-0000-0000-000093050000}"/>
    <cellStyle name="Normal 6 2 3 2 2 4" xfId="1549" xr:uid="{00000000-0005-0000-0000-000094050000}"/>
    <cellStyle name="Normal 6 2 3 2 2 5" xfId="1550" xr:uid="{00000000-0005-0000-0000-000095050000}"/>
    <cellStyle name="Normal 6 2 3 2 2 6" xfId="1551" xr:uid="{00000000-0005-0000-0000-000096050000}"/>
    <cellStyle name="Normal 6 2 3 2 2 7" xfId="1552" xr:uid="{00000000-0005-0000-0000-000097050000}"/>
    <cellStyle name="Normal 6 2 3 2 2 8" xfId="1553" xr:uid="{00000000-0005-0000-0000-000098050000}"/>
    <cellStyle name="Normal 6 2 3 2 2 9" xfId="1554" xr:uid="{00000000-0005-0000-0000-000099050000}"/>
    <cellStyle name="Normal 6 2 3 2 3" xfId="1555" xr:uid="{00000000-0005-0000-0000-00009A050000}"/>
    <cellStyle name="Normal 6 2 3 2 4" xfId="1556" xr:uid="{00000000-0005-0000-0000-00009B050000}"/>
    <cellStyle name="Normal 6 2 3 2 5" xfId="1557" xr:uid="{00000000-0005-0000-0000-00009C050000}"/>
    <cellStyle name="Normal 6 2 3 2 6" xfId="1558" xr:uid="{00000000-0005-0000-0000-00009D050000}"/>
    <cellStyle name="Normal 6 2 3 2 7" xfId="1559" xr:uid="{00000000-0005-0000-0000-00009E050000}"/>
    <cellStyle name="Normal 6 2 3 2 8" xfId="1560" xr:uid="{00000000-0005-0000-0000-00009F050000}"/>
    <cellStyle name="Normal 6 2 3 2 9" xfId="1561" xr:uid="{00000000-0005-0000-0000-0000A0050000}"/>
    <cellStyle name="Normal 6 2 3 3" xfId="1562" xr:uid="{00000000-0005-0000-0000-0000A1050000}"/>
    <cellStyle name="Normal 6 2 3 3 10" xfId="1563" xr:uid="{00000000-0005-0000-0000-0000A2050000}"/>
    <cellStyle name="Normal 6 2 3 3 2" xfId="1564" xr:uid="{00000000-0005-0000-0000-0000A3050000}"/>
    <cellStyle name="Normal 6 2 3 3 3" xfId="1565" xr:uid="{00000000-0005-0000-0000-0000A4050000}"/>
    <cellStyle name="Normal 6 2 3 3 4" xfId="1566" xr:uid="{00000000-0005-0000-0000-0000A5050000}"/>
    <cellStyle name="Normal 6 2 3 3 5" xfId="1567" xr:uid="{00000000-0005-0000-0000-0000A6050000}"/>
    <cellStyle name="Normal 6 2 3 3 6" xfId="1568" xr:uid="{00000000-0005-0000-0000-0000A7050000}"/>
    <cellStyle name="Normal 6 2 3 3 7" xfId="1569" xr:uid="{00000000-0005-0000-0000-0000A8050000}"/>
    <cellStyle name="Normal 6 2 3 3 8" xfId="1570" xr:uid="{00000000-0005-0000-0000-0000A9050000}"/>
    <cellStyle name="Normal 6 2 3 3 9" xfId="1571" xr:uid="{00000000-0005-0000-0000-0000AA050000}"/>
    <cellStyle name="Normal 6 2 3 4" xfId="1572" xr:uid="{00000000-0005-0000-0000-0000AB050000}"/>
    <cellStyle name="Normal 6 2 3 5" xfId="1573" xr:uid="{00000000-0005-0000-0000-0000AC050000}"/>
    <cellStyle name="Normal 6 2 3 6" xfId="1574" xr:uid="{00000000-0005-0000-0000-0000AD050000}"/>
    <cellStyle name="Normal 6 2 3 7" xfId="1575" xr:uid="{00000000-0005-0000-0000-0000AE050000}"/>
    <cellStyle name="Normal 6 2 3 8" xfId="1576" xr:uid="{00000000-0005-0000-0000-0000AF050000}"/>
    <cellStyle name="Normal 6 2 3 9" xfId="1577" xr:uid="{00000000-0005-0000-0000-0000B0050000}"/>
    <cellStyle name="Normal 6 2 4" xfId="226" xr:uid="{00000000-0005-0000-0000-0000B1050000}"/>
    <cellStyle name="Normal 6 2 4 10" xfId="1578" xr:uid="{00000000-0005-0000-0000-0000B2050000}"/>
    <cellStyle name="Normal 6 2 4 11" xfId="1579" xr:uid="{00000000-0005-0000-0000-0000B3050000}"/>
    <cellStyle name="Normal 6 2 4 12" xfId="1580" xr:uid="{00000000-0005-0000-0000-0000B4050000}"/>
    <cellStyle name="Normal 6 2 4 2" xfId="227" xr:uid="{00000000-0005-0000-0000-0000B5050000}"/>
    <cellStyle name="Normal 6 2 4 2 10" xfId="1581" xr:uid="{00000000-0005-0000-0000-0000B6050000}"/>
    <cellStyle name="Normal 6 2 4 2 11" xfId="1582" xr:uid="{00000000-0005-0000-0000-0000B7050000}"/>
    <cellStyle name="Normal 6 2 4 2 2" xfId="1583" xr:uid="{00000000-0005-0000-0000-0000B8050000}"/>
    <cellStyle name="Normal 6 2 4 2 2 10" xfId="1584" xr:uid="{00000000-0005-0000-0000-0000B9050000}"/>
    <cellStyle name="Normal 6 2 4 2 2 2" xfId="1585" xr:uid="{00000000-0005-0000-0000-0000BA050000}"/>
    <cellStyle name="Normal 6 2 4 2 2 3" xfId="1586" xr:uid="{00000000-0005-0000-0000-0000BB050000}"/>
    <cellStyle name="Normal 6 2 4 2 2 4" xfId="1587" xr:uid="{00000000-0005-0000-0000-0000BC050000}"/>
    <cellStyle name="Normal 6 2 4 2 2 5" xfId="1588" xr:uid="{00000000-0005-0000-0000-0000BD050000}"/>
    <cellStyle name="Normal 6 2 4 2 2 6" xfId="1589" xr:uid="{00000000-0005-0000-0000-0000BE050000}"/>
    <cellStyle name="Normal 6 2 4 2 2 7" xfId="1590" xr:uid="{00000000-0005-0000-0000-0000BF050000}"/>
    <cellStyle name="Normal 6 2 4 2 2 8" xfId="1591" xr:uid="{00000000-0005-0000-0000-0000C0050000}"/>
    <cellStyle name="Normal 6 2 4 2 2 9" xfId="1592" xr:uid="{00000000-0005-0000-0000-0000C1050000}"/>
    <cellStyle name="Normal 6 2 4 2 3" xfId="1593" xr:uid="{00000000-0005-0000-0000-0000C2050000}"/>
    <cellStyle name="Normal 6 2 4 2 4" xfId="1594" xr:uid="{00000000-0005-0000-0000-0000C3050000}"/>
    <cellStyle name="Normal 6 2 4 2 5" xfId="1595" xr:uid="{00000000-0005-0000-0000-0000C4050000}"/>
    <cellStyle name="Normal 6 2 4 2 6" xfId="1596" xr:uid="{00000000-0005-0000-0000-0000C5050000}"/>
    <cellStyle name="Normal 6 2 4 2 7" xfId="1597" xr:uid="{00000000-0005-0000-0000-0000C6050000}"/>
    <cellStyle name="Normal 6 2 4 2 8" xfId="1598" xr:uid="{00000000-0005-0000-0000-0000C7050000}"/>
    <cellStyle name="Normal 6 2 4 2 9" xfId="1599" xr:uid="{00000000-0005-0000-0000-0000C8050000}"/>
    <cellStyle name="Normal 6 2 4 3" xfId="1600" xr:uid="{00000000-0005-0000-0000-0000C9050000}"/>
    <cellStyle name="Normal 6 2 4 3 10" xfId="1601" xr:uid="{00000000-0005-0000-0000-0000CA050000}"/>
    <cellStyle name="Normal 6 2 4 3 2" xfId="1602" xr:uid="{00000000-0005-0000-0000-0000CB050000}"/>
    <cellStyle name="Normal 6 2 4 3 3" xfId="1603" xr:uid="{00000000-0005-0000-0000-0000CC050000}"/>
    <cellStyle name="Normal 6 2 4 3 4" xfId="1604" xr:uid="{00000000-0005-0000-0000-0000CD050000}"/>
    <cellStyle name="Normal 6 2 4 3 5" xfId="1605" xr:uid="{00000000-0005-0000-0000-0000CE050000}"/>
    <cellStyle name="Normal 6 2 4 3 6" xfId="1606" xr:uid="{00000000-0005-0000-0000-0000CF050000}"/>
    <cellStyle name="Normal 6 2 4 3 7" xfId="1607" xr:uid="{00000000-0005-0000-0000-0000D0050000}"/>
    <cellStyle name="Normal 6 2 4 3 8" xfId="1608" xr:uid="{00000000-0005-0000-0000-0000D1050000}"/>
    <cellStyle name="Normal 6 2 4 3 9" xfId="1609" xr:uid="{00000000-0005-0000-0000-0000D2050000}"/>
    <cellStyle name="Normal 6 2 4 4" xfId="1610" xr:uid="{00000000-0005-0000-0000-0000D3050000}"/>
    <cellStyle name="Normal 6 2 4 5" xfId="1611" xr:uid="{00000000-0005-0000-0000-0000D4050000}"/>
    <cellStyle name="Normal 6 2 4 6" xfId="1612" xr:uid="{00000000-0005-0000-0000-0000D5050000}"/>
    <cellStyle name="Normal 6 2 4 7" xfId="1613" xr:uid="{00000000-0005-0000-0000-0000D6050000}"/>
    <cellStyle name="Normal 6 2 4 8" xfId="1614" xr:uid="{00000000-0005-0000-0000-0000D7050000}"/>
    <cellStyle name="Normal 6 2 4 9" xfId="1615" xr:uid="{00000000-0005-0000-0000-0000D8050000}"/>
    <cellStyle name="Normal 6 2 5" xfId="1616" xr:uid="{00000000-0005-0000-0000-0000D9050000}"/>
    <cellStyle name="Normal 6 2 5 10" xfId="1617" xr:uid="{00000000-0005-0000-0000-0000DA050000}"/>
    <cellStyle name="Normal 6 2 5 2" xfId="1618" xr:uid="{00000000-0005-0000-0000-0000DB050000}"/>
    <cellStyle name="Normal 6 2 5 3" xfId="1619" xr:uid="{00000000-0005-0000-0000-0000DC050000}"/>
    <cellStyle name="Normal 6 2 5 4" xfId="1620" xr:uid="{00000000-0005-0000-0000-0000DD050000}"/>
    <cellStyle name="Normal 6 2 5 5" xfId="1621" xr:uid="{00000000-0005-0000-0000-0000DE050000}"/>
    <cellStyle name="Normal 6 2 5 6" xfId="1622" xr:uid="{00000000-0005-0000-0000-0000DF050000}"/>
    <cellStyle name="Normal 6 2 5 7" xfId="1623" xr:uid="{00000000-0005-0000-0000-0000E0050000}"/>
    <cellStyle name="Normal 6 2 5 8" xfId="1624" xr:uid="{00000000-0005-0000-0000-0000E1050000}"/>
    <cellStyle name="Normal 6 2 5 9" xfId="1625" xr:uid="{00000000-0005-0000-0000-0000E2050000}"/>
    <cellStyle name="Normal 6 2 6" xfId="1626" xr:uid="{00000000-0005-0000-0000-0000E3050000}"/>
    <cellStyle name="Normal 6 2 7" xfId="1627" xr:uid="{00000000-0005-0000-0000-0000E4050000}"/>
    <cellStyle name="Normal 6 2 8" xfId="1628" xr:uid="{00000000-0005-0000-0000-0000E5050000}"/>
    <cellStyle name="Normal 6 2 9" xfId="1629" xr:uid="{00000000-0005-0000-0000-0000E6050000}"/>
    <cellStyle name="Normal 6 3" xfId="228" xr:uid="{00000000-0005-0000-0000-0000E7050000}"/>
    <cellStyle name="Normal 6 4" xfId="229" xr:uid="{00000000-0005-0000-0000-0000E8050000}"/>
    <cellStyle name="Normal 6 5" xfId="230" xr:uid="{00000000-0005-0000-0000-0000E9050000}"/>
    <cellStyle name="Normal 6 6" xfId="231" xr:uid="{00000000-0005-0000-0000-0000EA050000}"/>
    <cellStyle name="Normal 7" xfId="232" xr:uid="{00000000-0005-0000-0000-0000EB050000}"/>
    <cellStyle name="Normal 8" xfId="233" xr:uid="{00000000-0005-0000-0000-0000EC050000}"/>
    <cellStyle name="Normal 8 10" xfId="1630" xr:uid="{00000000-0005-0000-0000-0000ED050000}"/>
    <cellStyle name="Normal 8 11" xfId="1631" xr:uid="{00000000-0005-0000-0000-0000EE050000}"/>
    <cellStyle name="Normal 8 12" xfId="1632" xr:uid="{00000000-0005-0000-0000-0000EF050000}"/>
    <cellStyle name="Normal 8 2" xfId="1633" xr:uid="{00000000-0005-0000-0000-0000F0050000}"/>
    <cellStyle name="Normal 8 2 10" xfId="1634" xr:uid="{00000000-0005-0000-0000-0000F1050000}"/>
    <cellStyle name="Normal 8 2 2" xfId="1635" xr:uid="{00000000-0005-0000-0000-0000F2050000}"/>
    <cellStyle name="Normal 8 2 3" xfId="1636" xr:uid="{00000000-0005-0000-0000-0000F3050000}"/>
    <cellStyle name="Normal 8 2 4" xfId="1637" xr:uid="{00000000-0005-0000-0000-0000F4050000}"/>
    <cellStyle name="Normal 8 2 5" xfId="1638" xr:uid="{00000000-0005-0000-0000-0000F5050000}"/>
    <cellStyle name="Normal 8 2 6" xfId="1639" xr:uid="{00000000-0005-0000-0000-0000F6050000}"/>
    <cellStyle name="Normal 8 2 7" xfId="1640" xr:uid="{00000000-0005-0000-0000-0000F7050000}"/>
    <cellStyle name="Normal 8 2 8" xfId="1641" xr:uid="{00000000-0005-0000-0000-0000F8050000}"/>
    <cellStyle name="Normal 8 2 9" xfId="1642" xr:uid="{00000000-0005-0000-0000-0000F9050000}"/>
    <cellStyle name="Normal 8 3" xfId="1643" xr:uid="{00000000-0005-0000-0000-0000FA050000}"/>
    <cellStyle name="Normal 8 3 10" xfId="1644" xr:uid="{00000000-0005-0000-0000-0000FB050000}"/>
    <cellStyle name="Normal 8 3 2" xfId="1645" xr:uid="{00000000-0005-0000-0000-0000FC050000}"/>
    <cellStyle name="Normal 8 3 3" xfId="1646" xr:uid="{00000000-0005-0000-0000-0000FD050000}"/>
    <cellStyle name="Normal 8 3 4" xfId="1647" xr:uid="{00000000-0005-0000-0000-0000FE050000}"/>
    <cellStyle name="Normal 8 3 5" xfId="1648" xr:uid="{00000000-0005-0000-0000-0000FF050000}"/>
    <cellStyle name="Normal 8 3 6" xfId="1649" xr:uid="{00000000-0005-0000-0000-000000060000}"/>
    <cellStyle name="Normal 8 3 7" xfId="1650" xr:uid="{00000000-0005-0000-0000-000001060000}"/>
    <cellStyle name="Normal 8 3 8" xfId="1651" xr:uid="{00000000-0005-0000-0000-000002060000}"/>
    <cellStyle name="Normal 8 3 9" xfId="1652" xr:uid="{00000000-0005-0000-0000-000003060000}"/>
    <cellStyle name="Normal 8 4" xfId="1653" xr:uid="{00000000-0005-0000-0000-000004060000}"/>
    <cellStyle name="Normal 8 5" xfId="1654" xr:uid="{00000000-0005-0000-0000-000005060000}"/>
    <cellStyle name="Normal 8 6" xfId="1655" xr:uid="{00000000-0005-0000-0000-000006060000}"/>
    <cellStyle name="Normal 8 7" xfId="1656" xr:uid="{00000000-0005-0000-0000-000007060000}"/>
    <cellStyle name="Normal 8 8" xfId="1657" xr:uid="{00000000-0005-0000-0000-000008060000}"/>
    <cellStyle name="Normal 8 9" xfId="1658" xr:uid="{00000000-0005-0000-0000-000009060000}"/>
    <cellStyle name="Normal 9" xfId="234" xr:uid="{00000000-0005-0000-0000-00000A060000}"/>
    <cellStyle name="Normal_DDFDF" xfId="29" xr:uid="{00000000-0005-0000-0000-00000B060000}"/>
    <cellStyle name="Note" xfId="235" xr:uid="{00000000-0005-0000-0000-00000C060000}"/>
    <cellStyle name="Note 2" xfId="1659" xr:uid="{00000000-0005-0000-0000-00000D060000}"/>
    <cellStyle name="Output" xfId="236" xr:uid="{00000000-0005-0000-0000-00000E060000}"/>
    <cellStyle name="Percent" xfId="330" builtinId="5"/>
    <cellStyle name="Percent [2]" xfId="237" xr:uid="{00000000-0005-0000-0000-00000F060000}"/>
    <cellStyle name="Percent [2] 2" xfId="238" xr:uid="{00000000-0005-0000-0000-000010060000}"/>
    <cellStyle name="Percent [2] 2 10" xfId="1660" xr:uid="{00000000-0005-0000-0000-000011060000}"/>
    <cellStyle name="Percent [2] 2 11" xfId="1661" xr:uid="{00000000-0005-0000-0000-000012060000}"/>
    <cellStyle name="Percent [2] 2 2" xfId="239" xr:uid="{00000000-0005-0000-0000-000013060000}"/>
    <cellStyle name="Percent [2] 2 3" xfId="1662" xr:uid="{00000000-0005-0000-0000-000014060000}"/>
    <cellStyle name="Percent [2] 2 4" xfId="1663" xr:uid="{00000000-0005-0000-0000-000015060000}"/>
    <cellStyle name="Percent [2] 2 5" xfId="1664" xr:uid="{00000000-0005-0000-0000-000016060000}"/>
    <cellStyle name="Percent [2] 2 6" xfId="1665" xr:uid="{00000000-0005-0000-0000-000017060000}"/>
    <cellStyle name="Percent [2] 2 7" xfId="1666" xr:uid="{00000000-0005-0000-0000-000018060000}"/>
    <cellStyle name="Percent [2] 2 8" xfId="1667" xr:uid="{00000000-0005-0000-0000-000019060000}"/>
    <cellStyle name="Percent [2] 2 9" xfId="1668" xr:uid="{00000000-0005-0000-0000-00001A060000}"/>
    <cellStyle name="Percent [2] 3" xfId="240" xr:uid="{00000000-0005-0000-0000-00001B060000}"/>
    <cellStyle name="Percent [2] 3 10" xfId="1669" xr:uid="{00000000-0005-0000-0000-00001C060000}"/>
    <cellStyle name="Percent [2] 3 11" xfId="1670" xr:uid="{00000000-0005-0000-0000-00001D060000}"/>
    <cellStyle name="Percent [2] 3 2" xfId="241" xr:uid="{00000000-0005-0000-0000-00001E060000}"/>
    <cellStyle name="Percent [2] 3 3" xfId="1671" xr:uid="{00000000-0005-0000-0000-00001F060000}"/>
    <cellStyle name="Percent [2] 3 4" xfId="1672" xr:uid="{00000000-0005-0000-0000-000020060000}"/>
    <cellStyle name="Percent [2] 3 5" xfId="1673" xr:uid="{00000000-0005-0000-0000-000021060000}"/>
    <cellStyle name="Percent [2] 3 6" xfId="1674" xr:uid="{00000000-0005-0000-0000-000022060000}"/>
    <cellStyle name="Percent [2] 3 7" xfId="1675" xr:uid="{00000000-0005-0000-0000-000023060000}"/>
    <cellStyle name="Percent [2] 3 8" xfId="1676" xr:uid="{00000000-0005-0000-0000-000024060000}"/>
    <cellStyle name="Percent [2] 3 9" xfId="1677" xr:uid="{00000000-0005-0000-0000-000025060000}"/>
    <cellStyle name="Percent [2] 4" xfId="242" xr:uid="{00000000-0005-0000-0000-000026060000}"/>
    <cellStyle name="Percent [2] 4 10" xfId="1678" xr:uid="{00000000-0005-0000-0000-000027060000}"/>
    <cellStyle name="Percent [2] 4 11" xfId="1679" xr:uid="{00000000-0005-0000-0000-000028060000}"/>
    <cellStyle name="Percent [2] 4 2" xfId="243" xr:uid="{00000000-0005-0000-0000-000029060000}"/>
    <cellStyle name="Percent [2] 4 3" xfId="1680" xr:uid="{00000000-0005-0000-0000-00002A060000}"/>
    <cellStyle name="Percent [2] 4 4" xfId="1681" xr:uid="{00000000-0005-0000-0000-00002B060000}"/>
    <cellStyle name="Percent [2] 4 5" xfId="1682" xr:uid="{00000000-0005-0000-0000-00002C060000}"/>
    <cellStyle name="Percent [2] 4 6" xfId="1683" xr:uid="{00000000-0005-0000-0000-00002D060000}"/>
    <cellStyle name="Percent [2] 4 7" xfId="1684" xr:uid="{00000000-0005-0000-0000-00002E060000}"/>
    <cellStyle name="Percent [2] 4 8" xfId="1685" xr:uid="{00000000-0005-0000-0000-00002F060000}"/>
    <cellStyle name="Percent [2] 4 9" xfId="1686" xr:uid="{00000000-0005-0000-0000-000030060000}"/>
    <cellStyle name="Percent 2" xfId="9" xr:uid="{00000000-0005-0000-0000-000031060000}"/>
    <cellStyle name="Percent 2 10" xfId="1687" xr:uid="{00000000-0005-0000-0000-000032060000}"/>
    <cellStyle name="Percent 2 11" xfId="1688" xr:uid="{00000000-0005-0000-0000-000033060000}"/>
    <cellStyle name="Percent 2 12" xfId="1689" xr:uid="{00000000-0005-0000-0000-000034060000}"/>
    <cellStyle name="Percent 2 13" xfId="1690" xr:uid="{00000000-0005-0000-0000-000035060000}"/>
    <cellStyle name="Percent 2 14" xfId="1691" xr:uid="{00000000-0005-0000-0000-000036060000}"/>
    <cellStyle name="Percent 2 2" xfId="244" xr:uid="{00000000-0005-0000-0000-000037060000}"/>
    <cellStyle name="Percent 2 2 2" xfId="245" xr:uid="{00000000-0005-0000-0000-000038060000}"/>
    <cellStyle name="Percent 2 3" xfId="246" xr:uid="{00000000-0005-0000-0000-000039060000}"/>
    <cellStyle name="Percent 2 3 10" xfId="1692" xr:uid="{00000000-0005-0000-0000-00003A060000}"/>
    <cellStyle name="Percent 2 3 11" xfId="1693" xr:uid="{00000000-0005-0000-0000-00003B060000}"/>
    <cellStyle name="Percent 2 3 12" xfId="1694" xr:uid="{00000000-0005-0000-0000-00003C060000}"/>
    <cellStyle name="Percent 2 3 2" xfId="247" xr:uid="{00000000-0005-0000-0000-00003D060000}"/>
    <cellStyle name="Percent 2 3 2 10" xfId="1695" xr:uid="{00000000-0005-0000-0000-00003E060000}"/>
    <cellStyle name="Percent 2 3 2 11" xfId="1696" xr:uid="{00000000-0005-0000-0000-00003F060000}"/>
    <cellStyle name="Percent 2 3 2 2" xfId="1697" xr:uid="{00000000-0005-0000-0000-000040060000}"/>
    <cellStyle name="Percent 2 3 2 2 10" xfId="1698" xr:uid="{00000000-0005-0000-0000-000041060000}"/>
    <cellStyle name="Percent 2 3 2 2 2" xfId="1699" xr:uid="{00000000-0005-0000-0000-000042060000}"/>
    <cellStyle name="Percent 2 3 2 2 3" xfId="1700" xr:uid="{00000000-0005-0000-0000-000043060000}"/>
    <cellStyle name="Percent 2 3 2 2 4" xfId="1701" xr:uid="{00000000-0005-0000-0000-000044060000}"/>
    <cellStyle name="Percent 2 3 2 2 5" xfId="1702" xr:uid="{00000000-0005-0000-0000-000045060000}"/>
    <cellStyle name="Percent 2 3 2 2 6" xfId="1703" xr:uid="{00000000-0005-0000-0000-000046060000}"/>
    <cellStyle name="Percent 2 3 2 2 7" xfId="1704" xr:uid="{00000000-0005-0000-0000-000047060000}"/>
    <cellStyle name="Percent 2 3 2 2 8" xfId="1705" xr:uid="{00000000-0005-0000-0000-000048060000}"/>
    <cellStyle name="Percent 2 3 2 2 9" xfId="1706" xr:uid="{00000000-0005-0000-0000-000049060000}"/>
    <cellStyle name="Percent 2 3 2 3" xfId="1707" xr:uid="{00000000-0005-0000-0000-00004A060000}"/>
    <cellStyle name="Percent 2 3 2 4" xfId="1708" xr:uid="{00000000-0005-0000-0000-00004B060000}"/>
    <cellStyle name="Percent 2 3 2 5" xfId="1709" xr:uid="{00000000-0005-0000-0000-00004C060000}"/>
    <cellStyle name="Percent 2 3 2 6" xfId="1710" xr:uid="{00000000-0005-0000-0000-00004D060000}"/>
    <cellStyle name="Percent 2 3 2 7" xfId="1711" xr:uid="{00000000-0005-0000-0000-00004E060000}"/>
    <cellStyle name="Percent 2 3 2 8" xfId="1712" xr:uid="{00000000-0005-0000-0000-00004F060000}"/>
    <cellStyle name="Percent 2 3 2 9" xfId="1713" xr:uid="{00000000-0005-0000-0000-000050060000}"/>
    <cellStyle name="Percent 2 3 3" xfId="1714" xr:uid="{00000000-0005-0000-0000-000051060000}"/>
    <cellStyle name="Percent 2 3 3 10" xfId="1715" xr:uid="{00000000-0005-0000-0000-000052060000}"/>
    <cellStyle name="Percent 2 3 3 2" xfId="1716" xr:uid="{00000000-0005-0000-0000-000053060000}"/>
    <cellStyle name="Percent 2 3 3 3" xfId="1717" xr:uid="{00000000-0005-0000-0000-000054060000}"/>
    <cellStyle name="Percent 2 3 3 4" xfId="1718" xr:uid="{00000000-0005-0000-0000-000055060000}"/>
    <cellStyle name="Percent 2 3 3 5" xfId="1719" xr:uid="{00000000-0005-0000-0000-000056060000}"/>
    <cellStyle name="Percent 2 3 3 6" xfId="1720" xr:uid="{00000000-0005-0000-0000-000057060000}"/>
    <cellStyle name="Percent 2 3 3 7" xfId="1721" xr:uid="{00000000-0005-0000-0000-000058060000}"/>
    <cellStyle name="Percent 2 3 3 8" xfId="1722" xr:uid="{00000000-0005-0000-0000-000059060000}"/>
    <cellStyle name="Percent 2 3 3 9" xfId="1723" xr:uid="{00000000-0005-0000-0000-00005A060000}"/>
    <cellStyle name="Percent 2 3 4" xfId="1724" xr:uid="{00000000-0005-0000-0000-00005B060000}"/>
    <cellStyle name="Percent 2 3 5" xfId="1725" xr:uid="{00000000-0005-0000-0000-00005C060000}"/>
    <cellStyle name="Percent 2 3 6" xfId="1726" xr:uid="{00000000-0005-0000-0000-00005D060000}"/>
    <cellStyle name="Percent 2 3 7" xfId="1727" xr:uid="{00000000-0005-0000-0000-00005E060000}"/>
    <cellStyle name="Percent 2 3 8" xfId="1728" xr:uid="{00000000-0005-0000-0000-00005F060000}"/>
    <cellStyle name="Percent 2 3 9" xfId="1729" xr:uid="{00000000-0005-0000-0000-000060060000}"/>
    <cellStyle name="Percent 2 4" xfId="248" xr:uid="{00000000-0005-0000-0000-000061060000}"/>
    <cellStyle name="Percent 2 4 10" xfId="1730" xr:uid="{00000000-0005-0000-0000-000062060000}"/>
    <cellStyle name="Percent 2 4 11" xfId="1731" xr:uid="{00000000-0005-0000-0000-000063060000}"/>
    <cellStyle name="Percent 2 4 12" xfId="1732" xr:uid="{00000000-0005-0000-0000-000064060000}"/>
    <cellStyle name="Percent 2 4 2" xfId="249" xr:uid="{00000000-0005-0000-0000-000065060000}"/>
    <cellStyle name="Percent 2 4 2 10" xfId="1733" xr:uid="{00000000-0005-0000-0000-000066060000}"/>
    <cellStyle name="Percent 2 4 2 11" xfId="1734" xr:uid="{00000000-0005-0000-0000-000067060000}"/>
    <cellStyle name="Percent 2 4 2 2" xfId="1735" xr:uid="{00000000-0005-0000-0000-000068060000}"/>
    <cellStyle name="Percent 2 4 2 2 10" xfId="1736" xr:uid="{00000000-0005-0000-0000-000069060000}"/>
    <cellStyle name="Percent 2 4 2 2 2" xfId="1737" xr:uid="{00000000-0005-0000-0000-00006A060000}"/>
    <cellStyle name="Percent 2 4 2 2 3" xfId="1738" xr:uid="{00000000-0005-0000-0000-00006B060000}"/>
    <cellStyle name="Percent 2 4 2 2 4" xfId="1739" xr:uid="{00000000-0005-0000-0000-00006C060000}"/>
    <cellStyle name="Percent 2 4 2 2 5" xfId="1740" xr:uid="{00000000-0005-0000-0000-00006D060000}"/>
    <cellStyle name="Percent 2 4 2 2 6" xfId="1741" xr:uid="{00000000-0005-0000-0000-00006E060000}"/>
    <cellStyle name="Percent 2 4 2 2 7" xfId="1742" xr:uid="{00000000-0005-0000-0000-00006F060000}"/>
    <cellStyle name="Percent 2 4 2 2 8" xfId="1743" xr:uid="{00000000-0005-0000-0000-000070060000}"/>
    <cellStyle name="Percent 2 4 2 2 9" xfId="1744" xr:uid="{00000000-0005-0000-0000-000071060000}"/>
    <cellStyle name="Percent 2 4 2 3" xfId="1745" xr:uid="{00000000-0005-0000-0000-000072060000}"/>
    <cellStyle name="Percent 2 4 2 4" xfId="1746" xr:uid="{00000000-0005-0000-0000-000073060000}"/>
    <cellStyle name="Percent 2 4 2 5" xfId="1747" xr:uid="{00000000-0005-0000-0000-000074060000}"/>
    <cellStyle name="Percent 2 4 2 6" xfId="1748" xr:uid="{00000000-0005-0000-0000-000075060000}"/>
    <cellStyle name="Percent 2 4 2 7" xfId="1749" xr:uid="{00000000-0005-0000-0000-000076060000}"/>
    <cellStyle name="Percent 2 4 2 8" xfId="1750" xr:uid="{00000000-0005-0000-0000-000077060000}"/>
    <cellStyle name="Percent 2 4 2 9" xfId="1751" xr:uid="{00000000-0005-0000-0000-000078060000}"/>
    <cellStyle name="Percent 2 4 3" xfId="1752" xr:uid="{00000000-0005-0000-0000-000079060000}"/>
    <cellStyle name="Percent 2 4 3 10" xfId="1753" xr:uid="{00000000-0005-0000-0000-00007A060000}"/>
    <cellStyle name="Percent 2 4 3 2" xfId="1754" xr:uid="{00000000-0005-0000-0000-00007B060000}"/>
    <cellStyle name="Percent 2 4 3 3" xfId="1755" xr:uid="{00000000-0005-0000-0000-00007C060000}"/>
    <cellStyle name="Percent 2 4 3 4" xfId="1756" xr:uid="{00000000-0005-0000-0000-00007D060000}"/>
    <cellStyle name="Percent 2 4 3 5" xfId="1757" xr:uid="{00000000-0005-0000-0000-00007E060000}"/>
    <cellStyle name="Percent 2 4 3 6" xfId="1758" xr:uid="{00000000-0005-0000-0000-00007F060000}"/>
    <cellStyle name="Percent 2 4 3 7" xfId="1759" xr:uid="{00000000-0005-0000-0000-000080060000}"/>
    <cellStyle name="Percent 2 4 3 8" xfId="1760" xr:uid="{00000000-0005-0000-0000-000081060000}"/>
    <cellStyle name="Percent 2 4 3 9" xfId="1761" xr:uid="{00000000-0005-0000-0000-000082060000}"/>
    <cellStyle name="Percent 2 4 4" xfId="1762" xr:uid="{00000000-0005-0000-0000-000083060000}"/>
    <cellStyle name="Percent 2 4 5" xfId="1763" xr:uid="{00000000-0005-0000-0000-000084060000}"/>
    <cellStyle name="Percent 2 4 6" xfId="1764" xr:uid="{00000000-0005-0000-0000-000085060000}"/>
    <cellStyle name="Percent 2 4 7" xfId="1765" xr:uid="{00000000-0005-0000-0000-000086060000}"/>
    <cellStyle name="Percent 2 4 8" xfId="1766" xr:uid="{00000000-0005-0000-0000-000087060000}"/>
    <cellStyle name="Percent 2 4 9" xfId="1767" xr:uid="{00000000-0005-0000-0000-000088060000}"/>
    <cellStyle name="Percent 2 5" xfId="1768" xr:uid="{00000000-0005-0000-0000-000089060000}"/>
    <cellStyle name="Percent 2 5 10" xfId="1769" xr:uid="{00000000-0005-0000-0000-00008A060000}"/>
    <cellStyle name="Percent 2 5 2" xfId="1770" xr:uid="{00000000-0005-0000-0000-00008B060000}"/>
    <cellStyle name="Percent 2 5 3" xfId="1771" xr:uid="{00000000-0005-0000-0000-00008C060000}"/>
    <cellStyle name="Percent 2 5 4" xfId="1772" xr:uid="{00000000-0005-0000-0000-00008D060000}"/>
    <cellStyle name="Percent 2 5 5" xfId="1773" xr:uid="{00000000-0005-0000-0000-00008E060000}"/>
    <cellStyle name="Percent 2 5 6" xfId="1774" xr:uid="{00000000-0005-0000-0000-00008F060000}"/>
    <cellStyle name="Percent 2 5 7" xfId="1775" xr:uid="{00000000-0005-0000-0000-000090060000}"/>
    <cellStyle name="Percent 2 5 8" xfId="1776" xr:uid="{00000000-0005-0000-0000-000091060000}"/>
    <cellStyle name="Percent 2 5 9" xfId="1777" xr:uid="{00000000-0005-0000-0000-000092060000}"/>
    <cellStyle name="Percent 2 6" xfId="1778" xr:uid="{00000000-0005-0000-0000-000093060000}"/>
    <cellStyle name="Percent 2 7" xfId="1779" xr:uid="{00000000-0005-0000-0000-000094060000}"/>
    <cellStyle name="Percent 2 8" xfId="1780" xr:uid="{00000000-0005-0000-0000-000095060000}"/>
    <cellStyle name="Percent 2 9" xfId="1781" xr:uid="{00000000-0005-0000-0000-000096060000}"/>
    <cellStyle name="Percent 3" xfId="250" xr:uid="{00000000-0005-0000-0000-000097060000}"/>
    <cellStyle name="Percent 3 10" xfId="1782" xr:uid="{00000000-0005-0000-0000-000098060000}"/>
    <cellStyle name="Percent 3 11" xfId="1783" xr:uid="{00000000-0005-0000-0000-000099060000}"/>
    <cellStyle name="Percent 3 12" xfId="1784" xr:uid="{00000000-0005-0000-0000-00009A060000}"/>
    <cellStyle name="Percent 3 13" xfId="1785" xr:uid="{00000000-0005-0000-0000-00009B060000}"/>
    <cellStyle name="Percent 3 2" xfId="251" xr:uid="{00000000-0005-0000-0000-00009C060000}"/>
    <cellStyle name="Percent 3 2 10" xfId="1786" xr:uid="{00000000-0005-0000-0000-00009D060000}"/>
    <cellStyle name="Percent 3 2 11" xfId="1787" xr:uid="{00000000-0005-0000-0000-00009E060000}"/>
    <cellStyle name="Percent 3 2 12" xfId="1788" xr:uid="{00000000-0005-0000-0000-00009F060000}"/>
    <cellStyle name="Percent 3 2 13" xfId="1789" xr:uid="{00000000-0005-0000-0000-0000A0060000}"/>
    <cellStyle name="Percent 3 2 2" xfId="1790" xr:uid="{00000000-0005-0000-0000-0000A1060000}"/>
    <cellStyle name="Percent 3 2 2 10" xfId="1791" xr:uid="{00000000-0005-0000-0000-0000A2060000}"/>
    <cellStyle name="Percent 3 2 2 2" xfId="1792" xr:uid="{00000000-0005-0000-0000-0000A3060000}"/>
    <cellStyle name="Percent 3 2 2 3" xfId="1793" xr:uid="{00000000-0005-0000-0000-0000A4060000}"/>
    <cellStyle name="Percent 3 2 2 4" xfId="1794" xr:uid="{00000000-0005-0000-0000-0000A5060000}"/>
    <cellStyle name="Percent 3 2 2 5" xfId="1795" xr:uid="{00000000-0005-0000-0000-0000A6060000}"/>
    <cellStyle name="Percent 3 2 2 6" xfId="1796" xr:uid="{00000000-0005-0000-0000-0000A7060000}"/>
    <cellStyle name="Percent 3 2 2 7" xfId="1797" xr:uid="{00000000-0005-0000-0000-0000A8060000}"/>
    <cellStyle name="Percent 3 2 2 8" xfId="1798" xr:uid="{00000000-0005-0000-0000-0000A9060000}"/>
    <cellStyle name="Percent 3 2 2 9" xfId="1799" xr:uid="{00000000-0005-0000-0000-0000AA060000}"/>
    <cellStyle name="Percent 3 2 3" xfId="1800" xr:uid="{00000000-0005-0000-0000-0000AB060000}"/>
    <cellStyle name="Percent 3 2 3 10" xfId="1801" xr:uid="{00000000-0005-0000-0000-0000AC060000}"/>
    <cellStyle name="Percent 3 2 3 2" xfId="1802" xr:uid="{00000000-0005-0000-0000-0000AD060000}"/>
    <cellStyle name="Percent 3 2 3 3" xfId="1803" xr:uid="{00000000-0005-0000-0000-0000AE060000}"/>
    <cellStyle name="Percent 3 2 3 4" xfId="1804" xr:uid="{00000000-0005-0000-0000-0000AF060000}"/>
    <cellStyle name="Percent 3 2 3 5" xfId="1805" xr:uid="{00000000-0005-0000-0000-0000B0060000}"/>
    <cellStyle name="Percent 3 2 3 6" xfId="1806" xr:uid="{00000000-0005-0000-0000-0000B1060000}"/>
    <cellStyle name="Percent 3 2 3 7" xfId="1807" xr:uid="{00000000-0005-0000-0000-0000B2060000}"/>
    <cellStyle name="Percent 3 2 3 8" xfId="1808" xr:uid="{00000000-0005-0000-0000-0000B3060000}"/>
    <cellStyle name="Percent 3 2 3 9" xfId="1809" xr:uid="{00000000-0005-0000-0000-0000B4060000}"/>
    <cellStyle name="Percent 3 2 4" xfId="1810" xr:uid="{00000000-0005-0000-0000-0000B5060000}"/>
    <cellStyle name="Percent 3 2 5" xfId="1811" xr:uid="{00000000-0005-0000-0000-0000B6060000}"/>
    <cellStyle name="Percent 3 2 6" xfId="1812" xr:uid="{00000000-0005-0000-0000-0000B7060000}"/>
    <cellStyle name="Percent 3 2 7" xfId="1813" xr:uid="{00000000-0005-0000-0000-0000B8060000}"/>
    <cellStyle name="Percent 3 2 8" xfId="1814" xr:uid="{00000000-0005-0000-0000-0000B9060000}"/>
    <cellStyle name="Percent 3 2 9" xfId="1815" xr:uid="{00000000-0005-0000-0000-0000BA060000}"/>
    <cellStyle name="Percent 3 3" xfId="1816" xr:uid="{00000000-0005-0000-0000-0000BB060000}"/>
    <cellStyle name="Percent 3 3 10" xfId="1817" xr:uid="{00000000-0005-0000-0000-0000BC060000}"/>
    <cellStyle name="Percent 3 3 2" xfId="1818" xr:uid="{00000000-0005-0000-0000-0000BD060000}"/>
    <cellStyle name="Percent 3 3 3" xfId="1819" xr:uid="{00000000-0005-0000-0000-0000BE060000}"/>
    <cellStyle name="Percent 3 3 4" xfId="1820" xr:uid="{00000000-0005-0000-0000-0000BF060000}"/>
    <cellStyle name="Percent 3 3 5" xfId="1821" xr:uid="{00000000-0005-0000-0000-0000C0060000}"/>
    <cellStyle name="Percent 3 3 6" xfId="1822" xr:uid="{00000000-0005-0000-0000-0000C1060000}"/>
    <cellStyle name="Percent 3 3 7" xfId="1823" xr:uid="{00000000-0005-0000-0000-0000C2060000}"/>
    <cellStyle name="Percent 3 3 8" xfId="1824" xr:uid="{00000000-0005-0000-0000-0000C3060000}"/>
    <cellStyle name="Percent 3 3 9" xfId="1825" xr:uid="{00000000-0005-0000-0000-0000C4060000}"/>
    <cellStyle name="Percent 3 4" xfId="1826" xr:uid="{00000000-0005-0000-0000-0000C5060000}"/>
    <cellStyle name="Percent 3 4 10" xfId="1827" xr:uid="{00000000-0005-0000-0000-0000C6060000}"/>
    <cellStyle name="Percent 3 4 2" xfId="1828" xr:uid="{00000000-0005-0000-0000-0000C7060000}"/>
    <cellStyle name="Percent 3 4 3" xfId="1829" xr:uid="{00000000-0005-0000-0000-0000C8060000}"/>
    <cellStyle name="Percent 3 4 4" xfId="1830" xr:uid="{00000000-0005-0000-0000-0000C9060000}"/>
    <cellStyle name="Percent 3 4 5" xfId="1831" xr:uid="{00000000-0005-0000-0000-0000CA060000}"/>
    <cellStyle name="Percent 3 4 6" xfId="1832" xr:uid="{00000000-0005-0000-0000-0000CB060000}"/>
    <cellStyle name="Percent 3 4 7" xfId="1833" xr:uid="{00000000-0005-0000-0000-0000CC060000}"/>
    <cellStyle name="Percent 3 4 8" xfId="1834" xr:uid="{00000000-0005-0000-0000-0000CD060000}"/>
    <cellStyle name="Percent 3 4 9" xfId="1835" xr:uid="{00000000-0005-0000-0000-0000CE060000}"/>
    <cellStyle name="Percent 3 5" xfId="1836" xr:uid="{00000000-0005-0000-0000-0000CF060000}"/>
    <cellStyle name="Percent 3 6" xfId="1837" xr:uid="{00000000-0005-0000-0000-0000D0060000}"/>
    <cellStyle name="Percent 3 7" xfId="1838" xr:uid="{00000000-0005-0000-0000-0000D1060000}"/>
    <cellStyle name="Percent 3 8" xfId="1839" xr:uid="{00000000-0005-0000-0000-0000D2060000}"/>
    <cellStyle name="Percent 3 9" xfId="1840" xr:uid="{00000000-0005-0000-0000-0000D3060000}"/>
    <cellStyle name="Percent 4" xfId="337" xr:uid="{00000000-0005-0000-0000-0000D4060000}"/>
    <cellStyle name="Quantity" xfId="252" xr:uid="{00000000-0005-0000-0000-0000D5060000}"/>
    <cellStyle name="Quantity 2" xfId="253" xr:uid="{00000000-0005-0000-0000-0000D6060000}"/>
    <cellStyle name="Quantity 2 10" xfId="1841" xr:uid="{00000000-0005-0000-0000-0000D7060000}"/>
    <cellStyle name="Quantity 2 11" xfId="1842" xr:uid="{00000000-0005-0000-0000-0000D8060000}"/>
    <cellStyle name="Quantity 2 2" xfId="254" xr:uid="{00000000-0005-0000-0000-0000D9060000}"/>
    <cellStyle name="Quantity 2 3" xfId="1843" xr:uid="{00000000-0005-0000-0000-0000DA060000}"/>
    <cellStyle name="Quantity 2 4" xfId="1844" xr:uid="{00000000-0005-0000-0000-0000DB060000}"/>
    <cellStyle name="Quantity 2 5" xfId="1845" xr:uid="{00000000-0005-0000-0000-0000DC060000}"/>
    <cellStyle name="Quantity 2 6" xfId="1846" xr:uid="{00000000-0005-0000-0000-0000DD060000}"/>
    <cellStyle name="Quantity 2 7" xfId="1847" xr:uid="{00000000-0005-0000-0000-0000DE060000}"/>
    <cellStyle name="Quantity 2 8" xfId="1848" xr:uid="{00000000-0005-0000-0000-0000DF060000}"/>
    <cellStyle name="Quantity 2 9" xfId="1849" xr:uid="{00000000-0005-0000-0000-0000E0060000}"/>
    <cellStyle name="Quantity 3" xfId="255" xr:uid="{00000000-0005-0000-0000-0000E1060000}"/>
    <cellStyle name="Quantity 3 10" xfId="1850" xr:uid="{00000000-0005-0000-0000-0000E2060000}"/>
    <cellStyle name="Quantity 3 11" xfId="1851" xr:uid="{00000000-0005-0000-0000-0000E3060000}"/>
    <cellStyle name="Quantity 3 2" xfId="256" xr:uid="{00000000-0005-0000-0000-0000E4060000}"/>
    <cellStyle name="Quantity 3 3" xfId="1852" xr:uid="{00000000-0005-0000-0000-0000E5060000}"/>
    <cellStyle name="Quantity 3 4" xfId="1853" xr:uid="{00000000-0005-0000-0000-0000E6060000}"/>
    <cellStyle name="Quantity 3 5" xfId="1854" xr:uid="{00000000-0005-0000-0000-0000E7060000}"/>
    <cellStyle name="Quantity 3 6" xfId="1855" xr:uid="{00000000-0005-0000-0000-0000E8060000}"/>
    <cellStyle name="Quantity 3 7" xfId="1856" xr:uid="{00000000-0005-0000-0000-0000E9060000}"/>
    <cellStyle name="Quantity 3 8" xfId="1857" xr:uid="{00000000-0005-0000-0000-0000EA060000}"/>
    <cellStyle name="Quantity 3 9" xfId="1858" xr:uid="{00000000-0005-0000-0000-0000EB060000}"/>
    <cellStyle name="Quantity 4" xfId="257" xr:uid="{00000000-0005-0000-0000-0000EC060000}"/>
    <cellStyle name="Quantity 4 10" xfId="1859" xr:uid="{00000000-0005-0000-0000-0000ED060000}"/>
    <cellStyle name="Quantity 4 11" xfId="1860" xr:uid="{00000000-0005-0000-0000-0000EE060000}"/>
    <cellStyle name="Quantity 4 2" xfId="258" xr:uid="{00000000-0005-0000-0000-0000EF060000}"/>
    <cellStyle name="Quantity 4 3" xfId="1861" xr:uid="{00000000-0005-0000-0000-0000F0060000}"/>
    <cellStyle name="Quantity 4 4" xfId="1862" xr:uid="{00000000-0005-0000-0000-0000F1060000}"/>
    <cellStyle name="Quantity 4 5" xfId="1863" xr:uid="{00000000-0005-0000-0000-0000F2060000}"/>
    <cellStyle name="Quantity 4 6" xfId="1864" xr:uid="{00000000-0005-0000-0000-0000F3060000}"/>
    <cellStyle name="Quantity 4 7" xfId="1865" xr:uid="{00000000-0005-0000-0000-0000F4060000}"/>
    <cellStyle name="Quantity 4 8" xfId="1866" xr:uid="{00000000-0005-0000-0000-0000F5060000}"/>
    <cellStyle name="Quantity 4 9" xfId="1867" xr:uid="{00000000-0005-0000-0000-0000F6060000}"/>
    <cellStyle name="Style 1" xfId="259" xr:uid="{00000000-0005-0000-0000-0000F7060000}"/>
    <cellStyle name="Style 1 2" xfId="260" xr:uid="{00000000-0005-0000-0000-0000F8060000}"/>
    <cellStyle name="Title" xfId="261" xr:uid="{00000000-0005-0000-0000-0000F9060000}"/>
    <cellStyle name="Total" xfId="262" xr:uid="{00000000-0005-0000-0000-0000FA060000}"/>
    <cellStyle name="Warning Text" xfId="263" xr:uid="{00000000-0005-0000-0000-0000FB060000}"/>
    <cellStyle name="การคำนวณ 2" xfId="264" xr:uid="{00000000-0005-0000-0000-0000FC060000}"/>
    <cellStyle name="การคำนวณ 3" xfId="265" xr:uid="{00000000-0005-0000-0000-0000FD060000}"/>
    <cellStyle name="ข้อความเตือน 2" xfId="266" xr:uid="{00000000-0005-0000-0000-0000FE060000}"/>
    <cellStyle name="ข้อความเตือน 3" xfId="267" xr:uid="{00000000-0005-0000-0000-0000FF060000}"/>
    <cellStyle name="ข้อความอธิบาย 2" xfId="268" xr:uid="{00000000-0005-0000-0000-000000070000}"/>
    <cellStyle name="ข้อความอธิบาย 3" xfId="269" xr:uid="{00000000-0005-0000-0000-000001070000}"/>
    <cellStyle name="เครื่องหมายจุลภาค 2" xfId="11" xr:uid="{00000000-0005-0000-0000-000002070000}"/>
    <cellStyle name="เครื่องหมายจุลภาค 2 10" xfId="1868" xr:uid="{00000000-0005-0000-0000-000003070000}"/>
    <cellStyle name="เครื่องหมายจุลภาค 2 11" xfId="1869" xr:uid="{00000000-0005-0000-0000-000004070000}"/>
    <cellStyle name="เครื่องหมายจุลภาค 2 12" xfId="1870" xr:uid="{00000000-0005-0000-0000-000005070000}"/>
    <cellStyle name="เครื่องหมายจุลภาค 2 13" xfId="1871" xr:uid="{00000000-0005-0000-0000-000006070000}"/>
    <cellStyle name="เครื่องหมายจุลภาค 2 2" xfId="16" xr:uid="{00000000-0005-0000-0000-000007070000}"/>
    <cellStyle name="เครื่องหมายจุลภาค 2 2 10" xfId="1872" xr:uid="{00000000-0005-0000-0000-000008070000}"/>
    <cellStyle name="เครื่องหมายจุลภาค 2 2 11" xfId="1873" xr:uid="{00000000-0005-0000-0000-000009070000}"/>
    <cellStyle name="เครื่องหมายจุลภาค 2 2 12" xfId="1874" xr:uid="{00000000-0005-0000-0000-00000A070000}"/>
    <cellStyle name="เครื่องหมายจุลภาค 2 2 13" xfId="1875" xr:uid="{00000000-0005-0000-0000-00000B070000}"/>
    <cellStyle name="เครื่องหมายจุลภาค 2 2 2" xfId="270" xr:uid="{00000000-0005-0000-0000-00000C070000}"/>
    <cellStyle name="เครื่องหมายจุลภาค 2 2 2 10" xfId="1876" xr:uid="{00000000-0005-0000-0000-00000D070000}"/>
    <cellStyle name="เครื่องหมายจุลภาค 2 2 2 11" xfId="1877" xr:uid="{00000000-0005-0000-0000-00000E070000}"/>
    <cellStyle name="เครื่องหมายจุลภาค 2 2 2 2" xfId="1878" xr:uid="{00000000-0005-0000-0000-00000F070000}"/>
    <cellStyle name="เครื่องหมายจุลภาค 2 2 2 2 10" xfId="1879" xr:uid="{00000000-0005-0000-0000-000010070000}"/>
    <cellStyle name="เครื่องหมายจุลภาค 2 2 2 2 2" xfId="1880" xr:uid="{00000000-0005-0000-0000-000011070000}"/>
    <cellStyle name="เครื่องหมายจุลภาค 2 2 2 2 3" xfId="1881" xr:uid="{00000000-0005-0000-0000-000012070000}"/>
    <cellStyle name="เครื่องหมายจุลภาค 2 2 2 2 4" xfId="1882" xr:uid="{00000000-0005-0000-0000-000013070000}"/>
    <cellStyle name="เครื่องหมายจุลภาค 2 2 2 2 5" xfId="1883" xr:uid="{00000000-0005-0000-0000-000014070000}"/>
    <cellStyle name="เครื่องหมายจุลภาค 2 2 2 2 6" xfId="1884" xr:uid="{00000000-0005-0000-0000-000015070000}"/>
    <cellStyle name="เครื่องหมายจุลภาค 2 2 2 2 7" xfId="1885" xr:uid="{00000000-0005-0000-0000-000016070000}"/>
    <cellStyle name="เครื่องหมายจุลภาค 2 2 2 2 8" xfId="1886" xr:uid="{00000000-0005-0000-0000-000017070000}"/>
    <cellStyle name="เครื่องหมายจุลภาค 2 2 2 2 9" xfId="1887" xr:uid="{00000000-0005-0000-0000-000018070000}"/>
    <cellStyle name="เครื่องหมายจุลภาค 2 2 2 3" xfId="1888" xr:uid="{00000000-0005-0000-0000-000019070000}"/>
    <cellStyle name="เครื่องหมายจุลภาค 2 2 2 4" xfId="1889" xr:uid="{00000000-0005-0000-0000-00001A070000}"/>
    <cellStyle name="เครื่องหมายจุลภาค 2 2 2 5" xfId="1890" xr:uid="{00000000-0005-0000-0000-00001B070000}"/>
    <cellStyle name="เครื่องหมายจุลภาค 2 2 2 6" xfId="1891" xr:uid="{00000000-0005-0000-0000-00001C070000}"/>
    <cellStyle name="เครื่องหมายจุลภาค 2 2 2 7" xfId="1892" xr:uid="{00000000-0005-0000-0000-00001D070000}"/>
    <cellStyle name="เครื่องหมายจุลภาค 2 2 2 8" xfId="1893" xr:uid="{00000000-0005-0000-0000-00001E070000}"/>
    <cellStyle name="เครื่องหมายจุลภาค 2 2 2 9" xfId="1894" xr:uid="{00000000-0005-0000-0000-00001F070000}"/>
    <cellStyle name="เครื่องหมายจุลภาค 2 2 3" xfId="1895" xr:uid="{00000000-0005-0000-0000-000020070000}"/>
    <cellStyle name="เครื่องหมายจุลภาค 2 2 3 10" xfId="1896" xr:uid="{00000000-0005-0000-0000-000021070000}"/>
    <cellStyle name="เครื่องหมายจุลภาค 2 2 3 2" xfId="1897" xr:uid="{00000000-0005-0000-0000-000022070000}"/>
    <cellStyle name="เครื่องหมายจุลภาค 2 2 3 3" xfId="1898" xr:uid="{00000000-0005-0000-0000-000023070000}"/>
    <cellStyle name="เครื่องหมายจุลภาค 2 2 3 4" xfId="1899" xr:uid="{00000000-0005-0000-0000-000024070000}"/>
    <cellStyle name="เครื่องหมายจุลภาค 2 2 3 5" xfId="1900" xr:uid="{00000000-0005-0000-0000-000025070000}"/>
    <cellStyle name="เครื่องหมายจุลภาค 2 2 3 6" xfId="1901" xr:uid="{00000000-0005-0000-0000-000026070000}"/>
    <cellStyle name="เครื่องหมายจุลภาค 2 2 3 7" xfId="1902" xr:uid="{00000000-0005-0000-0000-000027070000}"/>
    <cellStyle name="เครื่องหมายจุลภาค 2 2 3 8" xfId="1903" xr:uid="{00000000-0005-0000-0000-000028070000}"/>
    <cellStyle name="เครื่องหมายจุลภาค 2 2 3 9" xfId="1904" xr:uid="{00000000-0005-0000-0000-000029070000}"/>
    <cellStyle name="เครื่องหมายจุลภาค 2 2 4" xfId="1905" xr:uid="{00000000-0005-0000-0000-00002A070000}"/>
    <cellStyle name="เครื่องหมายจุลภาค 2 2 5" xfId="1906" xr:uid="{00000000-0005-0000-0000-00002B070000}"/>
    <cellStyle name="เครื่องหมายจุลภาค 2 2 6" xfId="1907" xr:uid="{00000000-0005-0000-0000-00002C070000}"/>
    <cellStyle name="เครื่องหมายจุลภาค 2 2 7" xfId="1908" xr:uid="{00000000-0005-0000-0000-00002D070000}"/>
    <cellStyle name="เครื่องหมายจุลภาค 2 2 8" xfId="1909" xr:uid="{00000000-0005-0000-0000-00002E070000}"/>
    <cellStyle name="เครื่องหมายจุลภาค 2 2 9" xfId="1910" xr:uid="{00000000-0005-0000-0000-00002F070000}"/>
    <cellStyle name="เครื่องหมายจุลภาค 2 3" xfId="271" xr:uid="{00000000-0005-0000-0000-000030070000}"/>
    <cellStyle name="เครื่องหมายจุลภาค 2 3 10" xfId="1911" xr:uid="{00000000-0005-0000-0000-000031070000}"/>
    <cellStyle name="เครื่องหมายจุลภาค 2 3 11" xfId="1912" xr:uid="{00000000-0005-0000-0000-000032070000}"/>
    <cellStyle name="เครื่องหมายจุลภาค 2 3 2" xfId="1913" xr:uid="{00000000-0005-0000-0000-000033070000}"/>
    <cellStyle name="เครื่องหมายจุลภาค 2 3 2 10" xfId="1914" xr:uid="{00000000-0005-0000-0000-000034070000}"/>
    <cellStyle name="เครื่องหมายจุลภาค 2 3 2 2" xfId="1915" xr:uid="{00000000-0005-0000-0000-000035070000}"/>
    <cellStyle name="เครื่องหมายจุลภาค 2 3 2 3" xfId="1916" xr:uid="{00000000-0005-0000-0000-000036070000}"/>
    <cellStyle name="เครื่องหมายจุลภาค 2 3 2 4" xfId="1917" xr:uid="{00000000-0005-0000-0000-000037070000}"/>
    <cellStyle name="เครื่องหมายจุลภาค 2 3 2 5" xfId="1918" xr:uid="{00000000-0005-0000-0000-000038070000}"/>
    <cellStyle name="เครื่องหมายจุลภาค 2 3 2 6" xfId="1919" xr:uid="{00000000-0005-0000-0000-000039070000}"/>
    <cellStyle name="เครื่องหมายจุลภาค 2 3 2 7" xfId="1920" xr:uid="{00000000-0005-0000-0000-00003A070000}"/>
    <cellStyle name="เครื่องหมายจุลภาค 2 3 2 8" xfId="1921" xr:uid="{00000000-0005-0000-0000-00003B070000}"/>
    <cellStyle name="เครื่องหมายจุลภาค 2 3 2 9" xfId="1922" xr:uid="{00000000-0005-0000-0000-00003C070000}"/>
    <cellStyle name="เครื่องหมายจุลภาค 2 3 3" xfId="1923" xr:uid="{00000000-0005-0000-0000-00003D070000}"/>
    <cellStyle name="เครื่องหมายจุลภาค 2 3 4" xfId="1924" xr:uid="{00000000-0005-0000-0000-00003E070000}"/>
    <cellStyle name="เครื่องหมายจุลภาค 2 3 5" xfId="1925" xr:uid="{00000000-0005-0000-0000-00003F070000}"/>
    <cellStyle name="เครื่องหมายจุลภาค 2 3 6" xfId="1926" xr:uid="{00000000-0005-0000-0000-000040070000}"/>
    <cellStyle name="เครื่องหมายจุลภาค 2 3 7" xfId="1927" xr:uid="{00000000-0005-0000-0000-000041070000}"/>
    <cellStyle name="เครื่องหมายจุลภาค 2 3 8" xfId="1928" xr:uid="{00000000-0005-0000-0000-000042070000}"/>
    <cellStyle name="เครื่องหมายจุลภาค 2 3 9" xfId="1929" xr:uid="{00000000-0005-0000-0000-000043070000}"/>
    <cellStyle name="เครื่องหมายจุลภาค 2 4" xfId="1930" xr:uid="{00000000-0005-0000-0000-000044070000}"/>
    <cellStyle name="เครื่องหมายจุลภาค 2 4 10" xfId="1931" xr:uid="{00000000-0005-0000-0000-000045070000}"/>
    <cellStyle name="เครื่องหมายจุลภาค 2 4 2" xfId="1932" xr:uid="{00000000-0005-0000-0000-000046070000}"/>
    <cellStyle name="เครื่องหมายจุลภาค 2 4 3" xfId="1933" xr:uid="{00000000-0005-0000-0000-000047070000}"/>
    <cellStyle name="เครื่องหมายจุลภาค 2 4 4" xfId="1934" xr:uid="{00000000-0005-0000-0000-000048070000}"/>
    <cellStyle name="เครื่องหมายจุลภาค 2 4 5" xfId="1935" xr:uid="{00000000-0005-0000-0000-000049070000}"/>
    <cellStyle name="เครื่องหมายจุลภาค 2 4 6" xfId="1936" xr:uid="{00000000-0005-0000-0000-00004A070000}"/>
    <cellStyle name="เครื่องหมายจุลภาค 2 4 7" xfId="1937" xr:uid="{00000000-0005-0000-0000-00004B070000}"/>
    <cellStyle name="เครื่องหมายจุลภาค 2 4 8" xfId="1938" xr:uid="{00000000-0005-0000-0000-00004C070000}"/>
    <cellStyle name="เครื่องหมายจุลภาค 2 4 9" xfId="1939" xr:uid="{00000000-0005-0000-0000-00004D070000}"/>
    <cellStyle name="เครื่องหมายจุลภาค 2 5" xfId="1940" xr:uid="{00000000-0005-0000-0000-00004E070000}"/>
    <cellStyle name="เครื่องหมายจุลภาค 2 6" xfId="1941" xr:uid="{00000000-0005-0000-0000-00004F070000}"/>
    <cellStyle name="เครื่องหมายจุลภาค 2 7" xfId="1942" xr:uid="{00000000-0005-0000-0000-000050070000}"/>
    <cellStyle name="เครื่องหมายจุลภาค 2 8" xfId="1943" xr:uid="{00000000-0005-0000-0000-000051070000}"/>
    <cellStyle name="เครื่องหมายจุลภาค 2 9" xfId="1944" xr:uid="{00000000-0005-0000-0000-000052070000}"/>
    <cellStyle name="เครื่องหมายจุลภาค 3" xfId="12" xr:uid="{00000000-0005-0000-0000-000053070000}"/>
    <cellStyle name="เครื่องหมายจุลภาค 3 10" xfId="1945" xr:uid="{00000000-0005-0000-0000-000054070000}"/>
    <cellStyle name="เครื่องหมายจุลภาค 3 11" xfId="1946" xr:uid="{00000000-0005-0000-0000-000055070000}"/>
    <cellStyle name="เครื่องหมายจุลภาค 3 12" xfId="1947" xr:uid="{00000000-0005-0000-0000-000056070000}"/>
    <cellStyle name="เครื่องหมายจุลภาค 3 2" xfId="17" xr:uid="{00000000-0005-0000-0000-000057070000}"/>
    <cellStyle name="เครื่องหมายจุลภาค 3 2 2" xfId="338" xr:uid="{00000000-0005-0000-0000-000058070000}"/>
    <cellStyle name="เครื่องหมายจุลภาค 3 3" xfId="1948" xr:uid="{00000000-0005-0000-0000-000059070000}"/>
    <cellStyle name="เครื่องหมายจุลภาค 3 3 10" xfId="1949" xr:uid="{00000000-0005-0000-0000-00005A070000}"/>
    <cellStyle name="เครื่องหมายจุลภาค 3 3 2" xfId="1950" xr:uid="{00000000-0005-0000-0000-00005B070000}"/>
    <cellStyle name="เครื่องหมายจุลภาค 3 3 3" xfId="1951" xr:uid="{00000000-0005-0000-0000-00005C070000}"/>
    <cellStyle name="เครื่องหมายจุลภาค 3 3 4" xfId="1952" xr:uid="{00000000-0005-0000-0000-00005D070000}"/>
    <cellStyle name="เครื่องหมายจุลภาค 3 3 5" xfId="1953" xr:uid="{00000000-0005-0000-0000-00005E070000}"/>
    <cellStyle name="เครื่องหมายจุลภาค 3 3 6" xfId="1954" xr:uid="{00000000-0005-0000-0000-00005F070000}"/>
    <cellStyle name="เครื่องหมายจุลภาค 3 3 7" xfId="1955" xr:uid="{00000000-0005-0000-0000-000060070000}"/>
    <cellStyle name="เครื่องหมายจุลภาค 3 3 8" xfId="1956" xr:uid="{00000000-0005-0000-0000-000061070000}"/>
    <cellStyle name="เครื่องหมายจุลภาค 3 3 9" xfId="1957" xr:uid="{00000000-0005-0000-0000-000062070000}"/>
    <cellStyle name="เครื่องหมายจุลภาค 3 4" xfId="1958" xr:uid="{00000000-0005-0000-0000-000063070000}"/>
    <cellStyle name="เครื่องหมายจุลภาค 3 5" xfId="1959" xr:uid="{00000000-0005-0000-0000-000064070000}"/>
    <cellStyle name="เครื่องหมายจุลภาค 3 6" xfId="1960" xr:uid="{00000000-0005-0000-0000-000065070000}"/>
    <cellStyle name="เครื่องหมายจุลภาค 3 7" xfId="1961" xr:uid="{00000000-0005-0000-0000-000066070000}"/>
    <cellStyle name="เครื่องหมายจุลภาค 3 8" xfId="1962" xr:uid="{00000000-0005-0000-0000-000067070000}"/>
    <cellStyle name="เครื่องหมายจุลภาค 3 9" xfId="1963" xr:uid="{00000000-0005-0000-0000-000068070000}"/>
    <cellStyle name="เครื่องหมายจุลภาค 4" xfId="272" xr:uid="{00000000-0005-0000-0000-000069070000}"/>
    <cellStyle name="เครื่องหมายจุลภาค 4 10" xfId="1964" xr:uid="{00000000-0005-0000-0000-00006A070000}"/>
    <cellStyle name="เครื่องหมายจุลภาค 4 11" xfId="1965" xr:uid="{00000000-0005-0000-0000-00006B070000}"/>
    <cellStyle name="เครื่องหมายจุลภาค 4 12" xfId="1966" xr:uid="{00000000-0005-0000-0000-00006C070000}"/>
    <cellStyle name="เครื่องหมายจุลภาค 4 2" xfId="273" xr:uid="{00000000-0005-0000-0000-00006D070000}"/>
    <cellStyle name="เครื่องหมายจุลภาค 4 2 10" xfId="1967" xr:uid="{00000000-0005-0000-0000-00006E070000}"/>
    <cellStyle name="เครื่องหมายจุลภาค 4 2 11" xfId="1968" xr:uid="{00000000-0005-0000-0000-00006F070000}"/>
    <cellStyle name="เครื่องหมายจุลภาค 4 2 12" xfId="1969" xr:uid="{00000000-0005-0000-0000-000070070000}"/>
    <cellStyle name="เครื่องหมายจุลภาค 4 2 13" xfId="1970" xr:uid="{00000000-0005-0000-0000-000071070000}"/>
    <cellStyle name="เครื่องหมายจุลภาค 4 2 14" xfId="1971" xr:uid="{00000000-0005-0000-0000-000072070000}"/>
    <cellStyle name="เครื่องหมายจุลภาค 4 2 2" xfId="274" xr:uid="{00000000-0005-0000-0000-000073070000}"/>
    <cellStyle name="เครื่องหมายจุลภาค 4 2 2 10" xfId="1972" xr:uid="{00000000-0005-0000-0000-000074070000}"/>
    <cellStyle name="เครื่องหมายจุลภาค 4 2 2 11" xfId="1973" xr:uid="{00000000-0005-0000-0000-000075070000}"/>
    <cellStyle name="เครื่องหมายจุลภาค 4 2 2 2" xfId="1974" xr:uid="{00000000-0005-0000-0000-000076070000}"/>
    <cellStyle name="เครื่องหมายจุลภาค 4 2 2 2 10" xfId="1975" xr:uid="{00000000-0005-0000-0000-000077070000}"/>
    <cellStyle name="เครื่องหมายจุลภาค 4 2 2 2 2" xfId="1976" xr:uid="{00000000-0005-0000-0000-000078070000}"/>
    <cellStyle name="เครื่องหมายจุลภาค 4 2 2 2 3" xfId="1977" xr:uid="{00000000-0005-0000-0000-000079070000}"/>
    <cellStyle name="เครื่องหมายจุลภาค 4 2 2 2 4" xfId="1978" xr:uid="{00000000-0005-0000-0000-00007A070000}"/>
    <cellStyle name="เครื่องหมายจุลภาค 4 2 2 2 5" xfId="1979" xr:uid="{00000000-0005-0000-0000-00007B070000}"/>
    <cellStyle name="เครื่องหมายจุลภาค 4 2 2 2 6" xfId="1980" xr:uid="{00000000-0005-0000-0000-00007C070000}"/>
    <cellStyle name="เครื่องหมายจุลภาค 4 2 2 2 7" xfId="1981" xr:uid="{00000000-0005-0000-0000-00007D070000}"/>
    <cellStyle name="เครื่องหมายจุลภาค 4 2 2 2 8" xfId="1982" xr:uid="{00000000-0005-0000-0000-00007E070000}"/>
    <cellStyle name="เครื่องหมายจุลภาค 4 2 2 2 9" xfId="1983" xr:uid="{00000000-0005-0000-0000-00007F070000}"/>
    <cellStyle name="เครื่องหมายจุลภาค 4 2 2 3" xfId="1984" xr:uid="{00000000-0005-0000-0000-000080070000}"/>
    <cellStyle name="เครื่องหมายจุลภาค 4 2 2 4" xfId="1985" xr:uid="{00000000-0005-0000-0000-000081070000}"/>
    <cellStyle name="เครื่องหมายจุลภาค 4 2 2 5" xfId="1986" xr:uid="{00000000-0005-0000-0000-000082070000}"/>
    <cellStyle name="เครื่องหมายจุลภาค 4 2 2 6" xfId="1987" xr:uid="{00000000-0005-0000-0000-000083070000}"/>
    <cellStyle name="เครื่องหมายจุลภาค 4 2 2 7" xfId="1988" xr:uid="{00000000-0005-0000-0000-000084070000}"/>
    <cellStyle name="เครื่องหมายจุลภาค 4 2 2 8" xfId="1989" xr:uid="{00000000-0005-0000-0000-000085070000}"/>
    <cellStyle name="เครื่องหมายจุลภาค 4 2 2 9" xfId="1990" xr:uid="{00000000-0005-0000-0000-000086070000}"/>
    <cellStyle name="เครื่องหมายจุลภาค 4 2 3" xfId="275" xr:uid="{00000000-0005-0000-0000-000087070000}"/>
    <cellStyle name="เครื่องหมายจุลภาค 4 2 3 10" xfId="1991" xr:uid="{00000000-0005-0000-0000-000088070000}"/>
    <cellStyle name="เครื่องหมายจุลภาค 4 2 3 11" xfId="1992" xr:uid="{00000000-0005-0000-0000-000089070000}"/>
    <cellStyle name="เครื่องหมายจุลภาค 4 2 3 12" xfId="1993" xr:uid="{00000000-0005-0000-0000-00008A070000}"/>
    <cellStyle name="เครื่องหมายจุลภาค 4 2 3 2" xfId="31" xr:uid="{00000000-0005-0000-0000-00008B070000}"/>
    <cellStyle name="เครื่องหมายจุลภาค 4 2 3 2 10" xfId="1994" xr:uid="{00000000-0005-0000-0000-00008C070000}"/>
    <cellStyle name="เครื่องหมายจุลภาค 4 2 3 2 11" xfId="1995" xr:uid="{00000000-0005-0000-0000-00008D070000}"/>
    <cellStyle name="เครื่องหมายจุลภาค 4 2 3 2 12" xfId="1996" xr:uid="{00000000-0005-0000-0000-00008E070000}"/>
    <cellStyle name="เครื่องหมายจุลภาค 4 2 3 2 2" xfId="1997" xr:uid="{00000000-0005-0000-0000-00008F070000}"/>
    <cellStyle name="เครื่องหมายจุลภาค 4 2 3 2 2 10" xfId="1998" xr:uid="{00000000-0005-0000-0000-000090070000}"/>
    <cellStyle name="เครื่องหมายจุลภาค 4 2 3 2 2 2" xfId="1999" xr:uid="{00000000-0005-0000-0000-000091070000}"/>
    <cellStyle name="เครื่องหมายจุลภาค 4 2 3 2 2 3" xfId="2000" xr:uid="{00000000-0005-0000-0000-000092070000}"/>
    <cellStyle name="เครื่องหมายจุลภาค 4 2 3 2 2 4" xfId="2001" xr:uid="{00000000-0005-0000-0000-000093070000}"/>
    <cellStyle name="เครื่องหมายจุลภาค 4 2 3 2 2 5" xfId="2002" xr:uid="{00000000-0005-0000-0000-000094070000}"/>
    <cellStyle name="เครื่องหมายจุลภาค 4 2 3 2 2 6" xfId="2003" xr:uid="{00000000-0005-0000-0000-000095070000}"/>
    <cellStyle name="เครื่องหมายจุลภาค 4 2 3 2 2 7" xfId="2004" xr:uid="{00000000-0005-0000-0000-000096070000}"/>
    <cellStyle name="เครื่องหมายจุลภาค 4 2 3 2 2 8" xfId="2005" xr:uid="{00000000-0005-0000-0000-000097070000}"/>
    <cellStyle name="เครื่องหมายจุลภาค 4 2 3 2 2 9" xfId="2006" xr:uid="{00000000-0005-0000-0000-000098070000}"/>
    <cellStyle name="เครื่องหมายจุลภาค 4 2 3 2 3" xfId="2007" xr:uid="{00000000-0005-0000-0000-000099070000}"/>
    <cellStyle name="เครื่องหมายจุลภาค 4 2 3 2 4" xfId="2008" xr:uid="{00000000-0005-0000-0000-00009A070000}"/>
    <cellStyle name="เครื่องหมายจุลภาค 4 2 3 2 5" xfId="2009" xr:uid="{00000000-0005-0000-0000-00009B070000}"/>
    <cellStyle name="เครื่องหมายจุลภาค 4 2 3 2 6" xfId="2010" xr:uid="{00000000-0005-0000-0000-00009C070000}"/>
    <cellStyle name="เครื่องหมายจุลภาค 4 2 3 2 7" xfId="2011" xr:uid="{00000000-0005-0000-0000-00009D070000}"/>
    <cellStyle name="เครื่องหมายจุลภาค 4 2 3 2 8" xfId="2012" xr:uid="{00000000-0005-0000-0000-00009E070000}"/>
    <cellStyle name="เครื่องหมายจุลภาค 4 2 3 2 9" xfId="2013" xr:uid="{00000000-0005-0000-0000-00009F070000}"/>
    <cellStyle name="เครื่องหมายจุลภาค 4 2 3 3" xfId="2014" xr:uid="{00000000-0005-0000-0000-0000A0070000}"/>
    <cellStyle name="เครื่องหมายจุลภาค 4 2 3 3 10" xfId="2015" xr:uid="{00000000-0005-0000-0000-0000A1070000}"/>
    <cellStyle name="เครื่องหมายจุลภาค 4 2 3 3 2" xfId="2016" xr:uid="{00000000-0005-0000-0000-0000A2070000}"/>
    <cellStyle name="เครื่องหมายจุลภาค 4 2 3 3 3" xfId="2017" xr:uid="{00000000-0005-0000-0000-0000A3070000}"/>
    <cellStyle name="เครื่องหมายจุลภาค 4 2 3 3 4" xfId="2018" xr:uid="{00000000-0005-0000-0000-0000A4070000}"/>
    <cellStyle name="เครื่องหมายจุลภาค 4 2 3 3 5" xfId="2019" xr:uid="{00000000-0005-0000-0000-0000A5070000}"/>
    <cellStyle name="เครื่องหมายจุลภาค 4 2 3 3 6" xfId="2020" xr:uid="{00000000-0005-0000-0000-0000A6070000}"/>
    <cellStyle name="เครื่องหมายจุลภาค 4 2 3 3 7" xfId="2021" xr:uid="{00000000-0005-0000-0000-0000A7070000}"/>
    <cellStyle name="เครื่องหมายจุลภาค 4 2 3 3 8" xfId="2022" xr:uid="{00000000-0005-0000-0000-0000A8070000}"/>
    <cellStyle name="เครื่องหมายจุลภาค 4 2 3 3 9" xfId="2023" xr:uid="{00000000-0005-0000-0000-0000A9070000}"/>
    <cellStyle name="เครื่องหมายจุลภาค 4 2 3 4" xfId="2024" xr:uid="{00000000-0005-0000-0000-0000AA070000}"/>
    <cellStyle name="เครื่องหมายจุลภาค 4 2 3 5" xfId="2025" xr:uid="{00000000-0005-0000-0000-0000AB070000}"/>
    <cellStyle name="เครื่องหมายจุลภาค 4 2 3 6" xfId="2026" xr:uid="{00000000-0005-0000-0000-0000AC070000}"/>
    <cellStyle name="เครื่องหมายจุลภาค 4 2 3 7" xfId="2027" xr:uid="{00000000-0005-0000-0000-0000AD070000}"/>
    <cellStyle name="เครื่องหมายจุลภาค 4 2 3 8" xfId="2028" xr:uid="{00000000-0005-0000-0000-0000AE070000}"/>
    <cellStyle name="เครื่องหมายจุลภาค 4 2 3 9" xfId="2029" xr:uid="{00000000-0005-0000-0000-0000AF070000}"/>
    <cellStyle name="เครื่องหมายจุลภาค 4 2 4" xfId="276" xr:uid="{00000000-0005-0000-0000-0000B0070000}"/>
    <cellStyle name="เครื่องหมายจุลภาค 4 2 4 10" xfId="2030" xr:uid="{00000000-0005-0000-0000-0000B1070000}"/>
    <cellStyle name="เครื่องหมายจุลภาค 4 2 4 11" xfId="2031" xr:uid="{00000000-0005-0000-0000-0000B2070000}"/>
    <cellStyle name="เครื่องหมายจุลภาค 4 2 4 2" xfId="2032" xr:uid="{00000000-0005-0000-0000-0000B3070000}"/>
    <cellStyle name="เครื่องหมายจุลภาค 4 2 4 2 10" xfId="2033" xr:uid="{00000000-0005-0000-0000-0000B4070000}"/>
    <cellStyle name="เครื่องหมายจุลภาค 4 2 4 2 2" xfId="2034" xr:uid="{00000000-0005-0000-0000-0000B5070000}"/>
    <cellStyle name="เครื่องหมายจุลภาค 4 2 4 2 3" xfId="2035" xr:uid="{00000000-0005-0000-0000-0000B6070000}"/>
    <cellStyle name="เครื่องหมายจุลภาค 4 2 4 2 4" xfId="2036" xr:uid="{00000000-0005-0000-0000-0000B7070000}"/>
    <cellStyle name="เครื่องหมายจุลภาค 4 2 4 2 5" xfId="2037" xr:uid="{00000000-0005-0000-0000-0000B8070000}"/>
    <cellStyle name="เครื่องหมายจุลภาค 4 2 4 2 6" xfId="2038" xr:uid="{00000000-0005-0000-0000-0000B9070000}"/>
    <cellStyle name="เครื่องหมายจุลภาค 4 2 4 2 7" xfId="2039" xr:uid="{00000000-0005-0000-0000-0000BA070000}"/>
    <cellStyle name="เครื่องหมายจุลภาค 4 2 4 2 8" xfId="2040" xr:uid="{00000000-0005-0000-0000-0000BB070000}"/>
    <cellStyle name="เครื่องหมายจุลภาค 4 2 4 2 9" xfId="2041" xr:uid="{00000000-0005-0000-0000-0000BC070000}"/>
    <cellStyle name="เครื่องหมายจุลภาค 4 2 4 3" xfId="2042" xr:uid="{00000000-0005-0000-0000-0000BD070000}"/>
    <cellStyle name="เครื่องหมายจุลภาค 4 2 4 4" xfId="2043" xr:uid="{00000000-0005-0000-0000-0000BE070000}"/>
    <cellStyle name="เครื่องหมายจุลภาค 4 2 4 5" xfId="2044" xr:uid="{00000000-0005-0000-0000-0000BF070000}"/>
    <cellStyle name="เครื่องหมายจุลภาค 4 2 4 6" xfId="2045" xr:uid="{00000000-0005-0000-0000-0000C0070000}"/>
    <cellStyle name="เครื่องหมายจุลภาค 4 2 4 7" xfId="2046" xr:uid="{00000000-0005-0000-0000-0000C1070000}"/>
    <cellStyle name="เครื่องหมายจุลภาค 4 2 4 8" xfId="2047" xr:uid="{00000000-0005-0000-0000-0000C2070000}"/>
    <cellStyle name="เครื่องหมายจุลภาค 4 2 4 9" xfId="2048" xr:uid="{00000000-0005-0000-0000-0000C3070000}"/>
    <cellStyle name="เครื่องหมายจุลภาค 4 2 5" xfId="2049" xr:uid="{00000000-0005-0000-0000-0000C4070000}"/>
    <cellStyle name="เครื่องหมายจุลภาค 4 2 5 10" xfId="2050" xr:uid="{00000000-0005-0000-0000-0000C5070000}"/>
    <cellStyle name="เครื่องหมายจุลภาค 4 2 5 2" xfId="2051" xr:uid="{00000000-0005-0000-0000-0000C6070000}"/>
    <cellStyle name="เครื่องหมายจุลภาค 4 2 5 3" xfId="2052" xr:uid="{00000000-0005-0000-0000-0000C7070000}"/>
    <cellStyle name="เครื่องหมายจุลภาค 4 2 5 4" xfId="2053" xr:uid="{00000000-0005-0000-0000-0000C8070000}"/>
    <cellStyle name="เครื่องหมายจุลภาค 4 2 5 5" xfId="2054" xr:uid="{00000000-0005-0000-0000-0000C9070000}"/>
    <cellStyle name="เครื่องหมายจุลภาค 4 2 5 6" xfId="2055" xr:uid="{00000000-0005-0000-0000-0000CA070000}"/>
    <cellStyle name="เครื่องหมายจุลภาค 4 2 5 7" xfId="2056" xr:uid="{00000000-0005-0000-0000-0000CB070000}"/>
    <cellStyle name="เครื่องหมายจุลภาค 4 2 5 8" xfId="2057" xr:uid="{00000000-0005-0000-0000-0000CC070000}"/>
    <cellStyle name="เครื่องหมายจุลภาค 4 2 5 9" xfId="2058" xr:uid="{00000000-0005-0000-0000-0000CD070000}"/>
    <cellStyle name="เครื่องหมายจุลภาค 4 2 6" xfId="2059" xr:uid="{00000000-0005-0000-0000-0000CE070000}"/>
    <cellStyle name="เครื่องหมายจุลภาค 4 2 7" xfId="2060" xr:uid="{00000000-0005-0000-0000-0000CF070000}"/>
    <cellStyle name="เครื่องหมายจุลภาค 4 2 8" xfId="2061" xr:uid="{00000000-0005-0000-0000-0000D0070000}"/>
    <cellStyle name="เครื่องหมายจุลภาค 4 2 9" xfId="2062" xr:uid="{00000000-0005-0000-0000-0000D1070000}"/>
    <cellStyle name="เครื่องหมายจุลภาค 4 3" xfId="2063" xr:uid="{00000000-0005-0000-0000-0000D2070000}"/>
    <cellStyle name="เครื่องหมายจุลภาค 4 3 10" xfId="2064" xr:uid="{00000000-0005-0000-0000-0000D3070000}"/>
    <cellStyle name="เครื่องหมายจุลภาค 4 3 2" xfId="2065" xr:uid="{00000000-0005-0000-0000-0000D4070000}"/>
    <cellStyle name="เครื่องหมายจุลภาค 4 3 3" xfId="2066" xr:uid="{00000000-0005-0000-0000-0000D5070000}"/>
    <cellStyle name="เครื่องหมายจุลภาค 4 3 4" xfId="2067" xr:uid="{00000000-0005-0000-0000-0000D6070000}"/>
    <cellStyle name="เครื่องหมายจุลภาค 4 3 5" xfId="2068" xr:uid="{00000000-0005-0000-0000-0000D7070000}"/>
    <cellStyle name="เครื่องหมายจุลภาค 4 3 6" xfId="2069" xr:uid="{00000000-0005-0000-0000-0000D8070000}"/>
    <cellStyle name="เครื่องหมายจุลภาค 4 3 7" xfId="2070" xr:uid="{00000000-0005-0000-0000-0000D9070000}"/>
    <cellStyle name="เครื่องหมายจุลภาค 4 3 8" xfId="2071" xr:uid="{00000000-0005-0000-0000-0000DA070000}"/>
    <cellStyle name="เครื่องหมายจุลภาค 4 3 9" xfId="2072" xr:uid="{00000000-0005-0000-0000-0000DB070000}"/>
    <cellStyle name="เครื่องหมายจุลภาค 4 4" xfId="2073" xr:uid="{00000000-0005-0000-0000-0000DC070000}"/>
    <cellStyle name="เครื่องหมายจุลภาค 4 5" xfId="2074" xr:uid="{00000000-0005-0000-0000-0000DD070000}"/>
    <cellStyle name="เครื่องหมายจุลภาค 4 6" xfId="2075" xr:uid="{00000000-0005-0000-0000-0000DE070000}"/>
    <cellStyle name="เครื่องหมายจุลภาค 4 7" xfId="2076" xr:uid="{00000000-0005-0000-0000-0000DF070000}"/>
    <cellStyle name="เครื่องหมายจุลภาค 4 8" xfId="2077" xr:uid="{00000000-0005-0000-0000-0000E0070000}"/>
    <cellStyle name="เครื่องหมายจุลภาค 4 9" xfId="2078" xr:uid="{00000000-0005-0000-0000-0000E1070000}"/>
    <cellStyle name="เครื่องหมายจุลภาค 5" xfId="277" xr:uid="{00000000-0005-0000-0000-0000E2070000}"/>
    <cellStyle name="เครื่องหมายจุลภาค 5 10" xfId="2079" xr:uid="{00000000-0005-0000-0000-0000E3070000}"/>
    <cellStyle name="เครื่องหมายจุลภาค 5 11" xfId="2080" xr:uid="{00000000-0005-0000-0000-0000E4070000}"/>
    <cellStyle name="เครื่องหมายจุลภาค 5 12" xfId="2081" xr:uid="{00000000-0005-0000-0000-0000E5070000}"/>
    <cellStyle name="เครื่องหมายจุลภาค 5 2" xfId="278" xr:uid="{00000000-0005-0000-0000-0000E6070000}"/>
    <cellStyle name="เครื่องหมายจุลภาค 5 2 10" xfId="2082" xr:uid="{00000000-0005-0000-0000-0000E7070000}"/>
    <cellStyle name="เครื่องหมายจุลภาค 5 2 11" xfId="2083" xr:uid="{00000000-0005-0000-0000-0000E8070000}"/>
    <cellStyle name="เครื่องหมายจุลภาค 5 2 2" xfId="2084" xr:uid="{00000000-0005-0000-0000-0000E9070000}"/>
    <cellStyle name="เครื่องหมายจุลภาค 5 2 2 10" xfId="2085" xr:uid="{00000000-0005-0000-0000-0000EA070000}"/>
    <cellStyle name="เครื่องหมายจุลภาค 5 2 2 2" xfId="2086" xr:uid="{00000000-0005-0000-0000-0000EB070000}"/>
    <cellStyle name="เครื่องหมายจุลภาค 5 2 2 3" xfId="2087" xr:uid="{00000000-0005-0000-0000-0000EC070000}"/>
    <cellStyle name="เครื่องหมายจุลภาค 5 2 2 4" xfId="2088" xr:uid="{00000000-0005-0000-0000-0000ED070000}"/>
    <cellStyle name="เครื่องหมายจุลภาค 5 2 2 5" xfId="2089" xr:uid="{00000000-0005-0000-0000-0000EE070000}"/>
    <cellStyle name="เครื่องหมายจุลภาค 5 2 2 6" xfId="2090" xr:uid="{00000000-0005-0000-0000-0000EF070000}"/>
    <cellStyle name="เครื่องหมายจุลภาค 5 2 2 7" xfId="2091" xr:uid="{00000000-0005-0000-0000-0000F0070000}"/>
    <cellStyle name="เครื่องหมายจุลภาค 5 2 2 8" xfId="2092" xr:uid="{00000000-0005-0000-0000-0000F1070000}"/>
    <cellStyle name="เครื่องหมายจุลภาค 5 2 2 9" xfId="2093" xr:uid="{00000000-0005-0000-0000-0000F2070000}"/>
    <cellStyle name="เครื่องหมายจุลภาค 5 2 3" xfId="2094" xr:uid="{00000000-0005-0000-0000-0000F3070000}"/>
    <cellStyle name="เครื่องหมายจุลภาค 5 2 4" xfId="2095" xr:uid="{00000000-0005-0000-0000-0000F4070000}"/>
    <cellStyle name="เครื่องหมายจุลภาค 5 2 5" xfId="2096" xr:uid="{00000000-0005-0000-0000-0000F5070000}"/>
    <cellStyle name="เครื่องหมายจุลภาค 5 2 6" xfId="2097" xr:uid="{00000000-0005-0000-0000-0000F6070000}"/>
    <cellStyle name="เครื่องหมายจุลภาค 5 2 7" xfId="2098" xr:uid="{00000000-0005-0000-0000-0000F7070000}"/>
    <cellStyle name="เครื่องหมายจุลภาค 5 2 8" xfId="2099" xr:uid="{00000000-0005-0000-0000-0000F8070000}"/>
    <cellStyle name="เครื่องหมายจุลภาค 5 2 9" xfId="2100" xr:uid="{00000000-0005-0000-0000-0000F9070000}"/>
    <cellStyle name="เครื่องหมายจุลภาค 5 3" xfId="2101" xr:uid="{00000000-0005-0000-0000-0000FA070000}"/>
    <cellStyle name="เครื่องหมายจุลภาค 5 3 10" xfId="2102" xr:uid="{00000000-0005-0000-0000-0000FB070000}"/>
    <cellStyle name="เครื่องหมายจุลภาค 5 3 2" xfId="2103" xr:uid="{00000000-0005-0000-0000-0000FC070000}"/>
    <cellStyle name="เครื่องหมายจุลภาค 5 3 3" xfId="2104" xr:uid="{00000000-0005-0000-0000-0000FD070000}"/>
    <cellStyle name="เครื่องหมายจุลภาค 5 3 4" xfId="2105" xr:uid="{00000000-0005-0000-0000-0000FE070000}"/>
    <cellStyle name="เครื่องหมายจุลภาค 5 3 5" xfId="2106" xr:uid="{00000000-0005-0000-0000-0000FF070000}"/>
    <cellStyle name="เครื่องหมายจุลภาค 5 3 6" xfId="2107" xr:uid="{00000000-0005-0000-0000-000000080000}"/>
    <cellStyle name="เครื่องหมายจุลภาค 5 3 7" xfId="2108" xr:uid="{00000000-0005-0000-0000-000001080000}"/>
    <cellStyle name="เครื่องหมายจุลภาค 5 3 8" xfId="2109" xr:uid="{00000000-0005-0000-0000-000002080000}"/>
    <cellStyle name="เครื่องหมายจุลภาค 5 3 9" xfId="2110" xr:uid="{00000000-0005-0000-0000-000003080000}"/>
    <cellStyle name="เครื่องหมายจุลภาค 5 4" xfId="2111" xr:uid="{00000000-0005-0000-0000-000004080000}"/>
    <cellStyle name="เครื่องหมายจุลภาค 5 5" xfId="2112" xr:uid="{00000000-0005-0000-0000-000005080000}"/>
    <cellStyle name="เครื่องหมายจุลภาค 5 6" xfId="2113" xr:uid="{00000000-0005-0000-0000-000006080000}"/>
    <cellStyle name="เครื่องหมายจุลภาค 5 7" xfId="2114" xr:uid="{00000000-0005-0000-0000-000007080000}"/>
    <cellStyle name="เครื่องหมายจุลภาค 5 8" xfId="2115" xr:uid="{00000000-0005-0000-0000-000008080000}"/>
    <cellStyle name="เครื่องหมายจุลภาค 5 9" xfId="2116" xr:uid="{00000000-0005-0000-0000-000009080000}"/>
    <cellStyle name="เครื่องหมายจุลภาค 6" xfId="2117" xr:uid="{00000000-0005-0000-0000-00000A080000}"/>
    <cellStyle name="เครื่องหมายจุลภาค 6 10" xfId="2118" xr:uid="{00000000-0005-0000-0000-00000B080000}"/>
    <cellStyle name="เครื่องหมายจุลภาค 6 2" xfId="2119" xr:uid="{00000000-0005-0000-0000-00000C080000}"/>
    <cellStyle name="เครื่องหมายจุลภาค 6 3" xfId="2120" xr:uid="{00000000-0005-0000-0000-00000D080000}"/>
    <cellStyle name="เครื่องหมายจุลภาค 6 4" xfId="2121" xr:uid="{00000000-0005-0000-0000-00000E080000}"/>
    <cellStyle name="เครื่องหมายจุลภาค 6 5" xfId="2122" xr:uid="{00000000-0005-0000-0000-00000F080000}"/>
    <cellStyle name="เครื่องหมายจุลภาค 6 6" xfId="2123" xr:uid="{00000000-0005-0000-0000-000010080000}"/>
    <cellStyle name="เครื่องหมายจุลภาค 6 7" xfId="2124" xr:uid="{00000000-0005-0000-0000-000011080000}"/>
    <cellStyle name="เครื่องหมายจุลภาค 6 8" xfId="2125" xr:uid="{00000000-0005-0000-0000-000012080000}"/>
    <cellStyle name="เครื่องหมายจุลภาค 6 9" xfId="2126" xr:uid="{00000000-0005-0000-0000-000013080000}"/>
    <cellStyle name="เครื่องหมายจุลภาค 7 2" xfId="279" xr:uid="{00000000-0005-0000-0000-000014080000}"/>
    <cellStyle name="เครื่องหมายจุลภาค 8" xfId="280" xr:uid="{00000000-0005-0000-0000-000015080000}"/>
    <cellStyle name="เครื่องหมายจุลภาค 8 10" xfId="2127" xr:uid="{00000000-0005-0000-0000-000016080000}"/>
    <cellStyle name="เครื่องหมายจุลภาค 8 11" xfId="2128" xr:uid="{00000000-0005-0000-0000-000017080000}"/>
    <cellStyle name="เครื่องหมายจุลภาค 8 12" xfId="2129" xr:uid="{00000000-0005-0000-0000-000018080000}"/>
    <cellStyle name="เครื่องหมายจุลภาค 8 2" xfId="281" xr:uid="{00000000-0005-0000-0000-000019080000}"/>
    <cellStyle name="เครื่องหมายจุลภาค 8 2 10" xfId="2130" xr:uid="{00000000-0005-0000-0000-00001A080000}"/>
    <cellStyle name="เครื่องหมายจุลภาค 8 2 11" xfId="2131" xr:uid="{00000000-0005-0000-0000-00001B080000}"/>
    <cellStyle name="เครื่องหมายจุลภาค 8 2 2" xfId="2132" xr:uid="{00000000-0005-0000-0000-00001C080000}"/>
    <cellStyle name="เครื่องหมายจุลภาค 8 2 2 10" xfId="2133" xr:uid="{00000000-0005-0000-0000-00001D080000}"/>
    <cellStyle name="เครื่องหมายจุลภาค 8 2 2 2" xfId="2134" xr:uid="{00000000-0005-0000-0000-00001E080000}"/>
    <cellStyle name="เครื่องหมายจุลภาค 8 2 2 3" xfId="2135" xr:uid="{00000000-0005-0000-0000-00001F080000}"/>
    <cellStyle name="เครื่องหมายจุลภาค 8 2 2 4" xfId="2136" xr:uid="{00000000-0005-0000-0000-000020080000}"/>
    <cellStyle name="เครื่องหมายจุลภาค 8 2 2 5" xfId="2137" xr:uid="{00000000-0005-0000-0000-000021080000}"/>
    <cellStyle name="เครื่องหมายจุลภาค 8 2 2 6" xfId="2138" xr:uid="{00000000-0005-0000-0000-000022080000}"/>
    <cellStyle name="เครื่องหมายจุลภาค 8 2 2 7" xfId="2139" xr:uid="{00000000-0005-0000-0000-000023080000}"/>
    <cellStyle name="เครื่องหมายจุลภาค 8 2 2 8" xfId="2140" xr:uid="{00000000-0005-0000-0000-000024080000}"/>
    <cellStyle name="เครื่องหมายจุลภาค 8 2 2 9" xfId="2141" xr:uid="{00000000-0005-0000-0000-000025080000}"/>
    <cellStyle name="เครื่องหมายจุลภาค 8 2 3" xfId="2142" xr:uid="{00000000-0005-0000-0000-000026080000}"/>
    <cellStyle name="เครื่องหมายจุลภาค 8 2 4" xfId="2143" xr:uid="{00000000-0005-0000-0000-000027080000}"/>
    <cellStyle name="เครื่องหมายจุลภาค 8 2 5" xfId="2144" xr:uid="{00000000-0005-0000-0000-000028080000}"/>
    <cellStyle name="เครื่องหมายจุลภาค 8 2 6" xfId="2145" xr:uid="{00000000-0005-0000-0000-000029080000}"/>
    <cellStyle name="เครื่องหมายจุลภาค 8 2 7" xfId="2146" xr:uid="{00000000-0005-0000-0000-00002A080000}"/>
    <cellStyle name="เครื่องหมายจุลภาค 8 2 8" xfId="2147" xr:uid="{00000000-0005-0000-0000-00002B080000}"/>
    <cellStyle name="เครื่องหมายจุลภาค 8 2 9" xfId="2148" xr:uid="{00000000-0005-0000-0000-00002C080000}"/>
    <cellStyle name="เครื่องหมายจุลภาค 8 3" xfId="2149" xr:uid="{00000000-0005-0000-0000-00002D080000}"/>
    <cellStyle name="เครื่องหมายจุลภาค 8 3 10" xfId="2150" xr:uid="{00000000-0005-0000-0000-00002E080000}"/>
    <cellStyle name="เครื่องหมายจุลภาค 8 3 2" xfId="2151" xr:uid="{00000000-0005-0000-0000-00002F080000}"/>
    <cellStyle name="เครื่องหมายจุลภาค 8 3 3" xfId="2152" xr:uid="{00000000-0005-0000-0000-000030080000}"/>
    <cellStyle name="เครื่องหมายจุลภาค 8 3 4" xfId="2153" xr:uid="{00000000-0005-0000-0000-000031080000}"/>
    <cellStyle name="เครื่องหมายจุลภาค 8 3 5" xfId="2154" xr:uid="{00000000-0005-0000-0000-000032080000}"/>
    <cellStyle name="เครื่องหมายจุลภาค 8 3 6" xfId="2155" xr:uid="{00000000-0005-0000-0000-000033080000}"/>
    <cellStyle name="เครื่องหมายจุลภาค 8 3 7" xfId="2156" xr:uid="{00000000-0005-0000-0000-000034080000}"/>
    <cellStyle name="เครื่องหมายจุลภาค 8 3 8" xfId="2157" xr:uid="{00000000-0005-0000-0000-000035080000}"/>
    <cellStyle name="เครื่องหมายจุลภาค 8 3 9" xfId="2158" xr:uid="{00000000-0005-0000-0000-000036080000}"/>
    <cellStyle name="เครื่องหมายจุลภาค 8 4" xfId="2159" xr:uid="{00000000-0005-0000-0000-000037080000}"/>
    <cellStyle name="เครื่องหมายจุลภาค 8 5" xfId="2160" xr:uid="{00000000-0005-0000-0000-000038080000}"/>
    <cellStyle name="เครื่องหมายจุลภาค 8 6" xfId="2161" xr:uid="{00000000-0005-0000-0000-000039080000}"/>
    <cellStyle name="เครื่องหมายจุลภาค 8 7" xfId="2162" xr:uid="{00000000-0005-0000-0000-00003A080000}"/>
    <cellStyle name="เครื่องหมายจุลภาค 8 8" xfId="2163" xr:uid="{00000000-0005-0000-0000-00003B080000}"/>
    <cellStyle name="เครื่องหมายจุลภาค 8 9" xfId="2164" xr:uid="{00000000-0005-0000-0000-00003C080000}"/>
    <cellStyle name="เครื่องหมายจุลภาค 9 2 2" xfId="2235" xr:uid="{00000000-0005-0000-0000-00003D080000}"/>
    <cellStyle name="เครื่องหมายจุลภาค 9 3" xfId="2236" xr:uid="{00000000-0005-0000-0000-00003E080000}"/>
    <cellStyle name="เครื่องหมายจุลภาค_BOQ EE 11-10-2009" xfId="2234" xr:uid="{00000000-0005-0000-0000-00003F080000}"/>
    <cellStyle name="เครื่องหมายจุลภาค_BOQสาธิตB2-CGD 16-12-2552-New Table" xfId="2242" xr:uid="{00000000-0005-0000-0000-000040080000}"/>
    <cellStyle name="เครื่องหมายจุลภาค_BOQสาธิตB2-CGD 16-12-2552-New Table 2" xfId="2246" xr:uid="{00000000-0005-0000-0000-000041080000}"/>
    <cellStyle name="เครื่องหมายจุลภาค_โครงการ อาคารสถาบันขงจื๊อ SN-15-01-2010" xfId="2239" xr:uid="{00000000-0005-0000-0000-000042080000}"/>
    <cellStyle name="เครื่องหมายจุลภาค_โครงการ อาคารสถาบันขงจื๊อ SN-15-01-2010 2" xfId="23" xr:uid="{00000000-0005-0000-0000-000043080000}"/>
    <cellStyle name="เครื่องหมายจุลภาค_โครงการ อาคารสถาบันขงจื๊อ SN-15-01-2010 2 2" xfId="2249" xr:uid="{00000000-0005-0000-0000-000044080000}"/>
    <cellStyle name="เครื่องหมายจุลภาค_โครงการ อาคารสถาบันขงจื๊อ SN-15-01-2010 4" xfId="2245" xr:uid="{00000000-0005-0000-0000-000045080000}"/>
    <cellStyle name="จุลภาค 2" xfId="2238" xr:uid="{00000000-0005-0000-0000-000047080000}"/>
    <cellStyle name="จุลภาค 2 2" xfId="2254" xr:uid="{00000000-0005-0000-0000-000048080000}"/>
    <cellStyle name="จุลภาค 3" xfId="2244" xr:uid="{00000000-0005-0000-0000-000049080000}"/>
    <cellStyle name="จุลภาค 4" xfId="2247" xr:uid="{00000000-0005-0000-0000-00004A080000}"/>
    <cellStyle name="ชื่อเรื่อง 2" xfId="282" xr:uid="{00000000-0005-0000-0000-00004B080000}"/>
    <cellStyle name="ชื่อเรื่อง 3" xfId="283" xr:uid="{00000000-0005-0000-0000-00004C080000}"/>
    <cellStyle name="เซลล์ตรวจสอบ 2" xfId="284" xr:uid="{00000000-0005-0000-0000-00004D080000}"/>
    <cellStyle name="เซลล์ตรวจสอบ 3" xfId="285" xr:uid="{00000000-0005-0000-0000-00004E080000}"/>
    <cellStyle name="เซลล์ที่มีการเชื่อมโยง 2" xfId="286" xr:uid="{00000000-0005-0000-0000-00004F080000}"/>
    <cellStyle name="เซลล์ที่มีการเชื่อมโยง 3" xfId="287" xr:uid="{00000000-0005-0000-0000-000050080000}"/>
    <cellStyle name="ดี 2" xfId="288" xr:uid="{00000000-0005-0000-0000-000051080000}"/>
    <cellStyle name="ดี 3" xfId="289" xr:uid="{00000000-0005-0000-0000-000052080000}"/>
    <cellStyle name="น้บะภฒ_95" xfId="290" xr:uid="{00000000-0005-0000-0000-000053080000}"/>
    <cellStyle name="ปกติ 2" xfId="13" xr:uid="{00000000-0005-0000-0000-000055080000}"/>
    <cellStyle name="ปกติ 2 10" xfId="2165" xr:uid="{00000000-0005-0000-0000-000056080000}"/>
    <cellStyle name="ปกติ 2 11" xfId="2166" xr:uid="{00000000-0005-0000-0000-000057080000}"/>
    <cellStyle name="ปกติ 2 12" xfId="2167" xr:uid="{00000000-0005-0000-0000-000058080000}"/>
    <cellStyle name="ปกติ 2 13" xfId="2168" xr:uid="{00000000-0005-0000-0000-000059080000}"/>
    <cellStyle name="ปกติ 2 2" xfId="18" xr:uid="{00000000-0005-0000-0000-00005A080000}"/>
    <cellStyle name="ปกติ 2 2 10" xfId="2169" xr:uid="{00000000-0005-0000-0000-00005B080000}"/>
    <cellStyle name="ปกติ 2 2 11" xfId="2170" xr:uid="{00000000-0005-0000-0000-00005C080000}"/>
    <cellStyle name="ปกติ 2 2 2" xfId="339" xr:uid="{00000000-0005-0000-0000-00005D080000}"/>
    <cellStyle name="ปกติ 2 2 2 10" xfId="2171" xr:uid="{00000000-0005-0000-0000-00005E080000}"/>
    <cellStyle name="ปกติ 2 2 2 2" xfId="2172" xr:uid="{00000000-0005-0000-0000-00005F080000}"/>
    <cellStyle name="ปกติ 2 2 2 3" xfId="2173" xr:uid="{00000000-0005-0000-0000-000060080000}"/>
    <cellStyle name="ปกติ 2 2 2 4" xfId="2174" xr:uid="{00000000-0005-0000-0000-000061080000}"/>
    <cellStyle name="ปกติ 2 2 2 5" xfId="2175" xr:uid="{00000000-0005-0000-0000-000062080000}"/>
    <cellStyle name="ปกติ 2 2 2 6" xfId="2176" xr:uid="{00000000-0005-0000-0000-000063080000}"/>
    <cellStyle name="ปกติ 2 2 2 7" xfId="2177" xr:uid="{00000000-0005-0000-0000-000064080000}"/>
    <cellStyle name="ปกติ 2 2 2 8" xfId="2178" xr:uid="{00000000-0005-0000-0000-000065080000}"/>
    <cellStyle name="ปกติ 2 2 2 9" xfId="2179" xr:uid="{00000000-0005-0000-0000-000066080000}"/>
    <cellStyle name="ปกติ 2 2 3" xfId="2180" xr:uid="{00000000-0005-0000-0000-000067080000}"/>
    <cellStyle name="ปกติ 2 2 4" xfId="2181" xr:uid="{00000000-0005-0000-0000-000068080000}"/>
    <cellStyle name="ปกติ 2 2 5" xfId="2182" xr:uid="{00000000-0005-0000-0000-000069080000}"/>
    <cellStyle name="ปกติ 2 2 6" xfId="2183" xr:uid="{00000000-0005-0000-0000-00006A080000}"/>
    <cellStyle name="ปกติ 2 2 7" xfId="2184" xr:uid="{00000000-0005-0000-0000-00006B080000}"/>
    <cellStyle name="ปกติ 2 2 8" xfId="2185" xr:uid="{00000000-0005-0000-0000-00006C080000}"/>
    <cellStyle name="ปกติ 2 2 9" xfId="2186" xr:uid="{00000000-0005-0000-0000-00006D080000}"/>
    <cellStyle name="ปกติ 2 3" xfId="20" xr:uid="{00000000-0005-0000-0000-00006E080000}"/>
    <cellStyle name="ปกติ 2 3 10" xfId="2187" xr:uid="{00000000-0005-0000-0000-00006F080000}"/>
    <cellStyle name="ปกติ 2 3 2" xfId="2188" xr:uid="{00000000-0005-0000-0000-000070080000}"/>
    <cellStyle name="ปกติ 2 3 3" xfId="2189" xr:uid="{00000000-0005-0000-0000-000071080000}"/>
    <cellStyle name="ปกติ 2 3 4" xfId="2190" xr:uid="{00000000-0005-0000-0000-000072080000}"/>
    <cellStyle name="ปกติ 2 3 5" xfId="2191" xr:uid="{00000000-0005-0000-0000-000073080000}"/>
    <cellStyle name="ปกติ 2 3 6" xfId="2192" xr:uid="{00000000-0005-0000-0000-000074080000}"/>
    <cellStyle name="ปกติ 2 3 7" xfId="2193" xr:uid="{00000000-0005-0000-0000-000075080000}"/>
    <cellStyle name="ปกติ 2 3 8" xfId="2194" xr:uid="{00000000-0005-0000-0000-000076080000}"/>
    <cellStyle name="ปกติ 2 3 9" xfId="2195" xr:uid="{00000000-0005-0000-0000-000077080000}"/>
    <cellStyle name="ปกติ 2 4" xfId="2196" xr:uid="{00000000-0005-0000-0000-000078080000}"/>
    <cellStyle name="ปกติ 2 5" xfId="2197" xr:uid="{00000000-0005-0000-0000-000079080000}"/>
    <cellStyle name="ปกติ 2 6" xfId="2198" xr:uid="{00000000-0005-0000-0000-00007A080000}"/>
    <cellStyle name="ปกติ 2 7" xfId="2199" xr:uid="{00000000-0005-0000-0000-00007B080000}"/>
    <cellStyle name="ปกติ 2 8" xfId="2200" xr:uid="{00000000-0005-0000-0000-00007C080000}"/>
    <cellStyle name="ปกติ 2 9" xfId="2201" xr:uid="{00000000-0005-0000-0000-00007D080000}"/>
    <cellStyle name="ปกติ 3" xfId="21" xr:uid="{00000000-0005-0000-0000-00007E080000}"/>
    <cellStyle name="ปกติ 3 10" xfId="2202" xr:uid="{00000000-0005-0000-0000-00007F080000}"/>
    <cellStyle name="ปกติ 3 11" xfId="2253" xr:uid="{00000000-0005-0000-0000-000080080000}"/>
    <cellStyle name="ปกติ 3 2" xfId="2203" xr:uid="{00000000-0005-0000-0000-000081080000}"/>
    <cellStyle name="ปกติ 3 3" xfId="2204" xr:uid="{00000000-0005-0000-0000-000082080000}"/>
    <cellStyle name="ปกติ 3 4" xfId="2205" xr:uid="{00000000-0005-0000-0000-000083080000}"/>
    <cellStyle name="ปกติ 3 5" xfId="2206" xr:uid="{00000000-0005-0000-0000-000084080000}"/>
    <cellStyle name="ปกติ 3 6" xfId="2207" xr:uid="{00000000-0005-0000-0000-000085080000}"/>
    <cellStyle name="ปกติ 3 7" xfId="2208" xr:uid="{00000000-0005-0000-0000-000086080000}"/>
    <cellStyle name="ปกติ 3 8" xfId="2209" xr:uid="{00000000-0005-0000-0000-000087080000}"/>
    <cellStyle name="ปกติ 3 9" xfId="2210" xr:uid="{00000000-0005-0000-0000-000088080000}"/>
    <cellStyle name="ปกติ 4" xfId="2211" xr:uid="{00000000-0005-0000-0000-000089080000}"/>
    <cellStyle name="ปกติ 5" xfId="2231" xr:uid="{00000000-0005-0000-0000-00008A080000}"/>
    <cellStyle name="ปกติ 6" xfId="2237" xr:uid="{00000000-0005-0000-0000-00008B080000}"/>
    <cellStyle name="ปกติ_027 BOQ อาคาร คสล. 8 ชั้น  กทม งานสถาปัตย์" xfId="19" xr:uid="{00000000-0005-0000-0000-00008C080000}"/>
    <cellStyle name="ปกติ_027 BOQ อาคาร คสล. 8 ชั้น  กทม งานสถาปัตย์ 2" xfId="2233" xr:uid="{00000000-0005-0000-0000-00008D080000}"/>
    <cellStyle name="ปกติ_027 BOQ อาคาร คสล. 8 ชั้น  กทม งานสถาปัตย์ 2 2" xfId="2250" xr:uid="{00000000-0005-0000-0000-00008E080000}"/>
    <cellStyle name="ปกติ_BOQ-โครงสร้าง" xfId="25" xr:uid="{00000000-0005-0000-0000-00008F080000}"/>
    <cellStyle name="ปกติ_BOQสาธิตB2-CGD 16-12-2552-New Table" xfId="2240" xr:uid="{00000000-0005-0000-0000-000090080000}"/>
    <cellStyle name="ปกติ_Sheet1" xfId="26" xr:uid="{00000000-0005-0000-0000-000091080000}"/>
    <cellStyle name="ปกติ_Sheet1 2" xfId="2241" xr:uid="{00000000-0005-0000-0000-000092080000}"/>
    <cellStyle name="ปกติ_โครงการ อาคารสถาบันขงจื๊อ SN-15-01-2010 2" xfId="22" xr:uid="{00000000-0005-0000-0000-000093080000}"/>
    <cellStyle name="ป้อนค่า 2" xfId="291" xr:uid="{00000000-0005-0000-0000-000094080000}"/>
    <cellStyle name="ป้อนค่า 3" xfId="292" xr:uid="{00000000-0005-0000-0000-000095080000}"/>
    <cellStyle name="ปานกลาง 2" xfId="293" xr:uid="{00000000-0005-0000-0000-000096080000}"/>
    <cellStyle name="ปานกลาง 3" xfId="294" xr:uid="{00000000-0005-0000-0000-000097080000}"/>
    <cellStyle name="เปอร์เซ็นต์ 2" xfId="295" xr:uid="{00000000-0005-0000-0000-000099080000}"/>
    <cellStyle name="เปอร์เซ็นต์ 2 10" xfId="2212" xr:uid="{00000000-0005-0000-0000-00009A080000}"/>
    <cellStyle name="เปอร์เซ็นต์ 2 11" xfId="2213" xr:uid="{00000000-0005-0000-0000-00009B080000}"/>
    <cellStyle name="เปอร์เซ็นต์ 2 2" xfId="2214" xr:uid="{00000000-0005-0000-0000-00009C080000}"/>
    <cellStyle name="เปอร์เซ็นต์ 2 2 10" xfId="2215" xr:uid="{00000000-0005-0000-0000-00009D080000}"/>
    <cellStyle name="เปอร์เซ็นต์ 2 2 2" xfId="2216" xr:uid="{00000000-0005-0000-0000-00009E080000}"/>
    <cellStyle name="เปอร์เซ็นต์ 2 2 3" xfId="2217" xr:uid="{00000000-0005-0000-0000-00009F080000}"/>
    <cellStyle name="เปอร์เซ็นต์ 2 2 4" xfId="2218" xr:uid="{00000000-0005-0000-0000-0000A0080000}"/>
    <cellStyle name="เปอร์เซ็นต์ 2 2 5" xfId="2219" xr:uid="{00000000-0005-0000-0000-0000A1080000}"/>
    <cellStyle name="เปอร์เซ็นต์ 2 2 6" xfId="2220" xr:uid="{00000000-0005-0000-0000-0000A2080000}"/>
    <cellStyle name="เปอร์เซ็นต์ 2 2 7" xfId="2221" xr:uid="{00000000-0005-0000-0000-0000A3080000}"/>
    <cellStyle name="เปอร์เซ็นต์ 2 2 8" xfId="2222" xr:uid="{00000000-0005-0000-0000-0000A4080000}"/>
    <cellStyle name="เปอร์เซ็นต์ 2 2 9" xfId="2223" xr:uid="{00000000-0005-0000-0000-0000A5080000}"/>
    <cellStyle name="เปอร์เซ็นต์ 2 3" xfId="2224" xr:uid="{00000000-0005-0000-0000-0000A6080000}"/>
    <cellStyle name="เปอร์เซ็นต์ 2 4" xfId="2225" xr:uid="{00000000-0005-0000-0000-0000A7080000}"/>
    <cellStyle name="เปอร์เซ็นต์ 2 5" xfId="2226" xr:uid="{00000000-0005-0000-0000-0000A8080000}"/>
    <cellStyle name="เปอร์เซ็นต์ 2 6" xfId="2227" xr:uid="{00000000-0005-0000-0000-0000A9080000}"/>
    <cellStyle name="เปอร์เซ็นต์ 2 7" xfId="2228" xr:uid="{00000000-0005-0000-0000-0000AA080000}"/>
    <cellStyle name="เปอร์เซ็นต์ 2 8" xfId="2229" xr:uid="{00000000-0005-0000-0000-0000AB080000}"/>
    <cellStyle name="เปอร์เซ็นต์ 2 9" xfId="2230" xr:uid="{00000000-0005-0000-0000-0000AC080000}"/>
    <cellStyle name="ผลรวม 2" xfId="296" xr:uid="{00000000-0005-0000-0000-0000AD080000}"/>
    <cellStyle name="ผลรวม 3" xfId="297" xr:uid="{00000000-0005-0000-0000-0000AE080000}"/>
    <cellStyle name="แย่ 2" xfId="298" xr:uid="{00000000-0005-0000-0000-0000AF080000}"/>
    <cellStyle name="แย่ 3" xfId="299" xr:uid="{00000000-0005-0000-0000-0000B0080000}"/>
    <cellStyle name="ฤธถ [0]_95" xfId="300" xr:uid="{00000000-0005-0000-0000-0000B1080000}"/>
    <cellStyle name="ฤธถ_95" xfId="301" xr:uid="{00000000-0005-0000-0000-0000B2080000}"/>
    <cellStyle name="ล๋ศญ [0]_95" xfId="302" xr:uid="{00000000-0005-0000-0000-0000B3080000}"/>
    <cellStyle name="ล๋ศญ_95" xfId="303" xr:uid="{00000000-0005-0000-0000-0000B4080000}"/>
    <cellStyle name="ลักษณะ 1" xfId="304" xr:uid="{00000000-0005-0000-0000-0000B5080000}"/>
    <cellStyle name="วฅมุ_4ฟ๙ฝวภ๛" xfId="305" xr:uid="{00000000-0005-0000-0000-0000B6080000}"/>
    <cellStyle name="ส่วนที่ถูกเน้น1 2" xfId="306" xr:uid="{00000000-0005-0000-0000-0000B7080000}"/>
    <cellStyle name="ส่วนที่ถูกเน้น1 3" xfId="307" xr:uid="{00000000-0005-0000-0000-0000B8080000}"/>
    <cellStyle name="ส่วนที่ถูกเน้น2 2" xfId="308" xr:uid="{00000000-0005-0000-0000-0000B9080000}"/>
    <cellStyle name="ส่วนที่ถูกเน้น2 3" xfId="309" xr:uid="{00000000-0005-0000-0000-0000BA080000}"/>
    <cellStyle name="ส่วนที่ถูกเน้น3 2" xfId="310" xr:uid="{00000000-0005-0000-0000-0000BB080000}"/>
    <cellStyle name="ส่วนที่ถูกเน้น3 3" xfId="311" xr:uid="{00000000-0005-0000-0000-0000BC080000}"/>
    <cellStyle name="ส่วนที่ถูกเน้น4 2" xfId="312" xr:uid="{00000000-0005-0000-0000-0000BD080000}"/>
    <cellStyle name="ส่วนที่ถูกเน้น4 3" xfId="313" xr:uid="{00000000-0005-0000-0000-0000BE080000}"/>
    <cellStyle name="ส่วนที่ถูกเน้น5 2" xfId="314" xr:uid="{00000000-0005-0000-0000-0000BF080000}"/>
    <cellStyle name="ส่วนที่ถูกเน้น5 3" xfId="315" xr:uid="{00000000-0005-0000-0000-0000C0080000}"/>
    <cellStyle name="ส่วนที่ถูกเน้น6 2" xfId="316" xr:uid="{00000000-0005-0000-0000-0000C1080000}"/>
    <cellStyle name="ส่วนที่ถูกเน้น6 3" xfId="317" xr:uid="{00000000-0005-0000-0000-0000C2080000}"/>
    <cellStyle name="แสดงผล 2" xfId="318" xr:uid="{00000000-0005-0000-0000-0000C3080000}"/>
    <cellStyle name="แสดงผล 3" xfId="319" xr:uid="{00000000-0005-0000-0000-0000C4080000}"/>
    <cellStyle name="หมายเหตุ 2" xfId="320" xr:uid="{00000000-0005-0000-0000-0000C5080000}"/>
    <cellStyle name="หมายเหตุ 3" xfId="321" xr:uid="{00000000-0005-0000-0000-0000C6080000}"/>
    <cellStyle name="หัวเรื่อง 1 2" xfId="322" xr:uid="{00000000-0005-0000-0000-0000C7080000}"/>
    <cellStyle name="หัวเรื่อง 1 3" xfId="323" xr:uid="{00000000-0005-0000-0000-0000C8080000}"/>
    <cellStyle name="หัวเรื่อง 2 2" xfId="324" xr:uid="{00000000-0005-0000-0000-0000C9080000}"/>
    <cellStyle name="หัวเรื่อง 2 3" xfId="325" xr:uid="{00000000-0005-0000-0000-0000CA080000}"/>
    <cellStyle name="หัวเรื่อง 3 2" xfId="326" xr:uid="{00000000-0005-0000-0000-0000CB080000}"/>
    <cellStyle name="หัวเรื่อง 3 3" xfId="327" xr:uid="{00000000-0005-0000-0000-0000CC080000}"/>
    <cellStyle name="หัวเรื่อง 4 2" xfId="328" xr:uid="{00000000-0005-0000-0000-0000CD080000}"/>
    <cellStyle name="หัวเรื่อง 4 3" xfId="329" xr:uid="{00000000-0005-0000-0000-0000CE080000}"/>
  </cellStyles>
  <dxfs count="0"/>
  <tableStyles count="1" defaultTableStyle="TableStyleMedium9" defaultPivotStyle="PivotStyleLight16">
    <tableStyle name="MySqlDefault" pivot="0" table="0" count="0" xr9:uid="{00000000-0011-0000-FFFF-FFFF00000000}"/>
  </tableStyles>
  <colors>
    <mruColors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18" Type="http://schemas.openxmlformats.org/officeDocument/2006/relationships/externalLink" Target="externalLinks/externalLink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openxmlformats.org/officeDocument/2006/relationships/externalLink" Target="externalLinks/externalLink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4.xml"/><Relationship Id="rId22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khonkaenuniversity-my.sharepoint.com/Est/&#3605;&#3638;&#3585;&#3623;&#3636;&#3607;&#3618;&#3660;/BOQ-C/Est/&#3605;&#3638;&#3585;&#3623;&#3636;&#3607;&#3618;&#3660;/BOQ-A/EE%20&#3605;&#3638;&#3585;&#3623;&#3636;&#3607;&#3618;&#3660;%20BOQA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Est/&#3605;&#3638;&#3585;&#3623;&#3636;&#3607;&#3618;&#3660;/BOQ-C/Est/&#3605;&#3638;&#3585;&#3623;&#3636;&#3607;&#3618;&#3660;/BOQ-A/EE%20&#3605;&#3638;&#3585;&#3623;&#3636;&#3607;&#3618;&#3660;%20BOQA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-13668/Downloads/Est/&#3605;&#3638;&#3585;&#3623;&#3636;&#3607;&#3618;&#3660;/BOQ-C/Est/&#3605;&#3638;&#3585;&#3623;&#3636;&#3607;&#3618;&#3660;/BOQ-A/EE%20&#3605;&#3638;&#3585;&#3623;&#3636;&#3607;&#3618;&#3660;%20BOQA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01%20&#3591;&#3634;&#3609;&#3585;&#3629;&#3591;&#3629;&#3634;&#3588;&#3634;&#3619;/19%20&#3611;&#3619;&#3633;&#3610;&#3611;&#3619;&#3640;&#3591;%20&#3626;&#3623;.%20&#3594;&#3633;&#3657;&#3609;%2017%20&#3588;&#3603;&#3632;&#3649;&#3614;&#3607;&#3618;&#3660;/Est/&#3605;&#3638;&#3585;&#3623;&#3636;&#3607;&#3618;&#3660;/BOQ-C/Est/&#3605;&#3638;&#3585;&#3623;&#3636;&#3607;&#3618;&#3660;/BOQ-A/EE%20&#3605;&#3638;&#3585;&#3623;&#3636;&#3607;&#3618;&#3660;%20BOQA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khonkaenuniversity-my.sharepoint.com/CHAY%20WORK/Estimate%20Work/3.%20&#3591;&#3634;&#3609;&#3607;&#3637;&#3656;&#3612;&#3656;&#3634;&#3609;&#3617;&#3634;/3.3%20&#3591;&#3634;&#3609;&#3604;&#3635;&#3648;&#3609;&#3636;&#3609;&#3585;&#3634;&#3619;&#3649;&#3621;&#3632;&#3611;&#3619;&#3632;&#3626;&#3634;&#3609;&#3591;&#3634;&#3609;%20(Pass%20Vol-3)/&#3629;&#3634;&#3588;&#3634;&#3619;&#3614;&#3634;&#3609;&#3636;&#3594;&#3618;&#3660;%20&#3619;&#3606;&#3652;&#3615;/BOQ%20B%20&#3619;&#3606;&#3652;&#3615;/BOQ%20B%20&#3619;&#3606;&#3652;&#3615;%20TYP%20A.xls" TargetMode="External"/></Relationships>
</file>

<file path=xl/externalLinks/_rels/externalLink6.xml.rels><?xml version="1.0" encoding="UTF-8" standalone="yes"?>
<Relationships xmlns="http://schemas.openxmlformats.org/package/2006/relationships"><Relationship Id="rId2" Type="http://schemas.microsoft.com/office/2019/04/relationships/externalLinkLongPath" Target="https://khonkaenuniversity-my.sharepoint.com/2.Estimate%20Work/6.JOB/3.&#3591;&#3634;&#3609;%20X/019%20&#3610;&#3657;&#3634;&#3609;%201%20&#3594;&#3633;&#3657;&#3609;/CHAY%20WORK/Estimate%20Work/3.%20&#3591;&#3634;&#3609;&#3607;&#3637;&#3656;&#3612;&#3656;&#3634;&#3609;&#3617;&#3634;/3.3%20&#3591;&#3634;&#3609;&#3604;&#3635;&#3648;&#3609;&#3636;&#3609;&#3585;&#3634;&#3619;&#3649;&#3621;&#3632;&#3611;&#3619;&#3632;&#3626;&#3634;&#3609;&#3591;&#3634;&#3609;%20(Pass%20Vol-3)/&#3629;&#3634;&#3588;&#3634;&#3619;&#3614;&#3634;&#3609;&#3636;&#3594;&#3618;&#3660;%20&#3619;&#3606;&#3652;&#3615;/BOQ%20B%20&#3619;&#3606;&#3652;&#3615;/BOQ%20B%20&#3619;&#3606;&#3652;&#3615;%20TYP%20A.xls?C77549DB" TargetMode="External"/><Relationship Id="rId1" Type="http://schemas.openxmlformats.org/officeDocument/2006/relationships/externalLinkPath" Target="file:///\\C77549DB\BOQ%20B%20&#3619;&#3606;&#3652;&#3615;%20TYP%20A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-13668/Downloads/2.Estimate%20Work/6.JOB/3.&#3591;&#3634;&#3609;%20X/019%20&#3610;&#3657;&#3634;&#3609;%201%20&#3594;&#3633;&#3657;&#3609;/CHAY%20WORK/Estimate%20Work/3.%20&#3591;&#3634;&#3609;&#3607;&#3637;&#3656;&#3612;&#3656;&#3634;&#3609;&#3617;&#3634;/3.3%20&#3591;&#3634;&#3609;&#3604;&#3635;&#3648;&#3609;&#3636;&#3609;&#3585;&#3634;&#3619;&#3649;&#3621;&#3632;&#3611;&#3619;&#3632;&#3626;&#3634;&#3609;&#3591;&#3634;&#3609;%20(Pass%20Vol-3)/&#3629;&#3634;&#3588;&#3634;&#3619;&#3614;&#3634;&#3609;&#3636;&#3594;&#3618;&#3660;%20&#3619;&#3606;&#3652;&#3615;/BOQ%20B%20&#3619;&#3606;&#3652;&#3615;/BOQ%20B%20&#3619;&#3606;&#3652;&#3615;%20TYP%20A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user\TIN\boq-&#3610;&#3633;&#3623;&#3627;&#3621;&#3623;&#3591;%20&#3623;&#3636;&#3621;&#3648;&#3621;&#3592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1"/>
      <sheetName val="A2"/>
      <sheetName val="A3"/>
      <sheetName val="A41"/>
      <sheetName val="A4"/>
      <sheetName val="A51"/>
      <sheetName val="A5"/>
      <sheetName val="A61"/>
      <sheetName val="A6"/>
      <sheetName val="สรุป1"/>
      <sheetName val="ใบสรุปHVAC"/>
      <sheetName val="A2222"/>
      <sheetName val="summary1-1"/>
      <sheetName val="summary1-2"/>
      <sheetName val="summary1-3"/>
      <sheetName val="ต้นฉบับ"/>
      <sheetName val="ปกคงเหลือ"/>
      <sheetName val="ปก แก้ไข"/>
      <sheetName val="สรุปงานแก้ไข"/>
      <sheetName val="EE Now"/>
      <sheetName val="EE"/>
      <sheetName val="HVAC"/>
      <sheetName val="Sheet3"/>
      <sheetName val="Total(blank)"/>
      <sheetName val="Sheet2"/>
      <sheetName val="ปก แก้ไ⯈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177">
          <cell r="H177">
            <v>0</v>
          </cell>
        </row>
        <row r="181">
          <cell r="T181">
            <v>0.36965234395054297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1"/>
      <sheetName val="A2"/>
      <sheetName val="A3"/>
      <sheetName val="A41"/>
      <sheetName val="A4"/>
      <sheetName val="A51"/>
      <sheetName val="A5"/>
      <sheetName val="A61"/>
      <sheetName val="A6"/>
      <sheetName val="สรุป1"/>
      <sheetName val="ใบสรุปHVAC"/>
      <sheetName val="A2222"/>
      <sheetName val="summary1-1"/>
      <sheetName val="summary1-2"/>
      <sheetName val="summary1-3"/>
      <sheetName val="ต้นฉบับ"/>
      <sheetName val="ปกคงเหลือ"/>
      <sheetName val="ปก แก้ไข"/>
      <sheetName val="สรุปงานแก้ไข"/>
      <sheetName val="EE Now"/>
      <sheetName val="EE"/>
      <sheetName val="HVAC"/>
      <sheetName val="Sheet3"/>
      <sheetName val="Total(blank)"/>
      <sheetName val="Sheet2"/>
      <sheetName val="ปก แก้ไ⯈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177">
          <cell r="H177">
            <v>0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1"/>
      <sheetName val="A2"/>
      <sheetName val="A3"/>
      <sheetName val="A41"/>
      <sheetName val="A4"/>
      <sheetName val="A51"/>
      <sheetName val="A5"/>
      <sheetName val="A61"/>
      <sheetName val="A6"/>
      <sheetName val="สรุป1"/>
      <sheetName val="ใบสรุปHVAC"/>
      <sheetName val="A2222"/>
      <sheetName val="summary1-1"/>
      <sheetName val="summary1-2"/>
      <sheetName val="summary1-3"/>
      <sheetName val="ต้นฉบับ"/>
      <sheetName val="ปกคงเหลือ"/>
      <sheetName val="ปก แก้ไข"/>
      <sheetName val="สรุปงานแก้ไข"/>
      <sheetName val="EE Now"/>
      <sheetName val="EE"/>
      <sheetName val="HVAC"/>
      <sheetName val="Sheet3"/>
      <sheetName val="Total(blank)"/>
      <sheetName val="Sheet2"/>
      <sheetName val="ปก แก้ไ⯈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177">
          <cell r="H177">
            <v>0</v>
          </cell>
        </row>
        <row r="181">
          <cell r="T181">
            <v>0.36965234395054297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1"/>
      <sheetName val="A2"/>
      <sheetName val="A3"/>
      <sheetName val="A41"/>
      <sheetName val="A4"/>
      <sheetName val="A51"/>
      <sheetName val="A5"/>
      <sheetName val="A61"/>
      <sheetName val="A6"/>
      <sheetName val="สรุป1"/>
      <sheetName val="ใบสรุปHVAC"/>
      <sheetName val="A2222"/>
      <sheetName val="summary1-1"/>
      <sheetName val="summary1-2"/>
      <sheetName val="summary1-3"/>
      <sheetName val="ต้นฉบับ"/>
      <sheetName val="ปกคงเหลือ"/>
      <sheetName val="ปก แก้ไข"/>
      <sheetName val="สรุปงานแก้ไข"/>
      <sheetName val="EE Now"/>
      <sheetName val="EE"/>
      <sheetName val="HVAC"/>
      <sheetName val="Sheet3"/>
      <sheetName val="Total(blank)"/>
      <sheetName val="Sheet2"/>
      <sheetName val="ปก แก้ไ⯈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177">
          <cell r="H177">
            <v>0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H update"/>
      <sheetName val="ประมาณการรวม"/>
      <sheetName val="Analysis "/>
      <sheetName val="1Sum "/>
      <sheetName val="อาคารTYP A "/>
      <sheetName val="อาคาร TYPE B"/>
      <sheetName val="สุขาภิบาล"/>
      <sheetName val="ไฟฟ้า"/>
      <sheetName val="1Sum (sub)p"/>
      <sheetName val="อาคารTYP A  (sub)p"/>
      <sheetName val="อาคาร TYPE B (sub)"/>
      <sheetName val="OH  (sub)p"/>
      <sheetName val="1SumBlank Formp"/>
      <sheetName val="อาคารTYP A  Blank Formp"/>
      <sheetName val="อาคาร TYPE B Blank For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H update"/>
      <sheetName val="ประมาณการรวม"/>
      <sheetName val="Analysis "/>
      <sheetName val="1Sum "/>
      <sheetName val="อาคารTYP A "/>
      <sheetName val="อาคาร TYPE B"/>
      <sheetName val="สุขาภิบาล"/>
      <sheetName val="ไฟฟ้า"/>
      <sheetName val="1Sum (sub)p"/>
      <sheetName val="อาคารTYP A  (sub)p"/>
      <sheetName val="อาคาร TYPE B (sub)"/>
      <sheetName val="OH  (sub)p"/>
      <sheetName val="1SumBlank Formp"/>
      <sheetName val="อาคารTYP A  Blank Formp"/>
      <sheetName val="อาคาร TYPE B Blank For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H update"/>
      <sheetName val="ประมาณการรวม"/>
      <sheetName val="Analysis "/>
      <sheetName val="1Sum "/>
      <sheetName val="อาคารTYP A "/>
      <sheetName val="อาคาร TYPE B"/>
      <sheetName val="สุขาภิบาล"/>
      <sheetName val="ไฟฟ้า"/>
      <sheetName val="1Sum (sub)p"/>
      <sheetName val="อาคารTYP A  (sub)p"/>
      <sheetName val="อาคาร TYPE B (sub)"/>
      <sheetName val="OH  (sub)p"/>
      <sheetName val="1SumBlank Formp"/>
      <sheetName val="อาคารTYP A  Blank Formp"/>
      <sheetName val="อาคาร TYPE B Blank For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oq-บัวหลวง วิลเลจ"/>
      <sheetName val="I-slab"/>
      <sheetName val="OH"/>
      <sheetName val="analysis"/>
      <sheetName val="cover"/>
      <sheetName val="sum"/>
      <sheetName val="structure"/>
      <sheetName val="architech"/>
      <sheetName val="sanitary"/>
      <sheetName val="electric"/>
      <sheetName val="air"/>
      <sheetName val="furniture"/>
      <sheetName val="land"/>
      <sheetName val="lan scape"/>
    </sheetNames>
    <sheetDataSet>
      <sheetData sheetId="0" refreshError="1"/>
      <sheetData sheetId="1" refreshError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35"/>
  </sheetPr>
  <dimension ref="A1:G36"/>
  <sheetViews>
    <sheetView view="pageBreakPreview" zoomScaleSheetLayoutView="100" workbookViewId="0">
      <selection activeCell="F13" sqref="F13"/>
    </sheetView>
  </sheetViews>
  <sheetFormatPr defaultColWidth="9.140625" defaultRowHeight="17.25"/>
  <cols>
    <col min="1" max="1" width="7.5703125" style="14" customWidth="1"/>
    <col min="2" max="2" width="42.140625" style="14" customWidth="1"/>
    <col min="3" max="3" width="33.5703125" style="14" customWidth="1"/>
    <col min="4" max="4" width="24.85546875" style="14" customWidth="1"/>
    <col min="5" max="6" width="9.140625" style="14"/>
    <col min="7" max="7" width="19.7109375" style="14" bestFit="1" customWidth="1"/>
    <col min="8" max="16384" width="9.140625" style="14"/>
  </cols>
  <sheetData>
    <row r="1" spans="1:6" ht="24">
      <c r="A1" s="12"/>
      <c r="B1" s="12"/>
      <c r="C1" s="12"/>
      <c r="D1" s="13" t="s">
        <v>33</v>
      </c>
    </row>
    <row r="2" spans="1:6" ht="24">
      <c r="A2" s="15" t="s">
        <v>34</v>
      </c>
      <c r="B2" s="15"/>
      <c r="C2" s="15"/>
      <c r="D2" s="15"/>
    </row>
    <row r="3" spans="1:6" ht="24">
      <c r="A3" s="16" t="s">
        <v>464</v>
      </c>
      <c r="B3" s="17"/>
      <c r="C3" s="18"/>
      <c r="D3" s="18"/>
    </row>
    <row r="4" spans="1:6" ht="24">
      <c r="A4" s="16" t="s">
        <v>518</v>
      </c>
      <c r="B4" s="16"/>
      <c r="C4" s="16"/>
      <c r="D4" s="16"/>
      <c r="E4" s="19"/>
      <c r="F4" s="19"/>
    </row>
    <row r="5" spans="1:6" ht="24">
      <c r="A5" s="20" t="s">
        <v>56</v>
      </c>
      <c r="B5" s="21"/>
      <c r="C5" s="21"/>
      <c r="D5" s="21"/>
    </row>
    <row r="6" spans="1:6" ht="24">
      <c r="A6" s="21" t="s">
        <v>86</v>
      </c>
      <c r="B6" s="21"/>
      <c r="C6" s="21"/>
      <c r="D6" s="21"/>
    </row>
    <row r="7" spans="1:6" ht="24">
      <c r="A7" s="21" t="s">
        <v>87</v>
      </c>
      <c r="B7" s="21"/>
      <c r="C7" s="21"/>
      <c r="D7" s="21"/>
    </row>
    <row r="8" spans="1:6" ht="24">
      <c r="A8" s="21" t="s">
        <v>35</v>
      </c>
      <c r="B8" s="21"/>
      <c r="C8" s="22"/>
      <c r="D8" s="21" t="s">
        <v>25</v>
      </c>
    </row>
    <row r="9" spans="1:6" ht="24">
      <c r="A9" s="21" t="s">
        <v>42</v>
      </c>
      <c r="B9" s="21"/>
      <c r="C9" s="21"/>
      <c r="D9" s="21"/>
    </row>
    <row r="10" spans="1:6" ht="24.75" thickBot="1">
      <c r="A10" s="12"/>
      <c r="B10" s="12"/>
      <c r="C10" s="12"/>
      <c r="D10" s="23" t="s">
        <v>22</v>
      </c>
    </row>
    <row r="11" spans="1:6" ht="22.5" customHeight="1" thickTop="1">
      <c r="A11" s="647" t="s">
        <v>0</v>
      </c>
      <c r="B11" s="647" t="s">
        <v>1</v>
      </c>
      <c r="C11" s="647" t="s">
        <v>15</v>
      </c>
      <c r="D11" s="647" t="s">
        <v>5</v>
      </c>
    </row>
    <row r="12" spans="1:6" ht="20.25" customHeight="1" thickBot="1">
      <c r="A12" s="644"/>
      <c r="B12" s="644"/>
      <c r="C12" s="644"/>
      <c r="D12" s="644"/>
    </row>
    <row r="13" spans="1:6" ht="24.75" thickTop="1">
      <c r="A13" s="24">
        <v>1</v>
      </c>
      <c r="B13" s="25" t="s">
        <v>40</v>
      </c>
      <c r="C13" s="26">
        <f>' ปร.5'!E23</f>
        <v>22486677.054880001</v>
      </c>
      <c r="D13" s="27"/>
    </row>
    <row r="14" spans="1:6" ht="24">
      <c r="A14" s="28">
        <v>2</v>
      </c>
      <c r="B14" s="29" t="s">
        <v>59</v>
      </c>
      <c r="C14" s="30">
        <f>' ปร.5'!E58</f>
        <v>5825760.5199999996</v>
      </c>
      <c r="D14" s="31"/>
    </row>
    <row r="15" spans="1:6" ht="24">
      <c r="A15" s="28"/>
      <c r="B15" s="29"/>
      <c r="C15" s="31"/>
      <c r="D15" s="31"/>
    </row>
    <row r="16" spans="1:6" ht="24">
      <c r="A16" s="28"/>
      <c r="B16" s="29"/>
      <c r="C16" s="31"/>
      <c r="D16" s="31"/>
    </row>
    <row r="17" spans="1:7" ht="24">
      <c r="A17" s="28"/>
      <c r="B17" s="29"/>
      <c r="C17" s="31"/>
      <c r="D17" s="32"/>
    </row>
    <row r="18" spans="1:7" ht="24">
      <c r="A18" s="29"/>
      <c r="B18" s="28"/>
      <c r="C18" s="29"/>
      <c r="D18" s="29"/>
    </row>
    <row r="19" spans="1:7" ht="24">
      <c r="A19" s="29"/>
      <c r="B19" s="33"/>
      <c r="C19" s="29"/>
      <c r="D19" s="29"/>
    </row>
    <row r="20" spans="1:7" ht="24">
      <c r="A20" s="29"/>
      <c r="B20" s="34"/>
      <c r="C20" s="29"/>
      <c r="D20" s="29"/>
    </row>
    <row r="21" spans="1:7" ht="24">
      <c r="A21" s="29"/>
      <c r="B21" s="35"/>
      <c r="C21" s="29"/>
      <c r="D21" s="29"/>
    </row>
    <row r="22" spans="1:7" ht="24.75" thickBot="1">
      <c r="A22" s="36"/>
      <c r="B22" s="37"/>
      <c r="C22" s="36"/>
      <c r="D22" s="36"/>
    </row>
    <row r="23" spans="1:7" ht="24">
      <c r="A23" s="642" t="s">
        <v>9</v>
      </c>
      <c r="B23" s="38" t="s">
        <v>39</v>
      </c>
      <c r="C23" s="39">
        <f>SUM(C13:C22)</f>
        <v>28312437.57488</v>
      </c>
      <c r="D23" s="38"/>
      <c r="G23" s="40"/>
    </row>
    <row r="24" spans="1:7" ht="24.75" thickBot="1">
      <c r="A24" s="643"/>
      <c r="B24" s="41" t="s">
        <v>36</v>
      </c>
      <c r="C24" s="42">
        <f>+ROUND(C23,2)</f>
        <v>28312437.57</v>
      </c>
      <c r="D24" s="43"/>
      <c r="G24" s="44"/>
    </row>
    <row r="25" spans="1:7" ht="29.25" customHeight="1" thickTop="1" thickBot="1">
      <c r="A25" s="644"/>
      <c r="B25" s="43" t="s">
        <v>11</v>
      </c>
      <c r="C25" s="645" t="str">
        <f>BAHTTEXT(C24)</f>
        <v>ยี่สิบแปดล้านสามแสนหนึ่งหมื่นสองพันสี่ร้อยสามสิบเจ็ดบาทห้าสิบเจ็ดสตางค์</v>
      </c>
      <c r="D25" s="646"/>
      <c r="G25" s="45"/>
    </row>
    <row r="26" spans="1:7" ht="24.75" thickTop="1">
      <c r="A26" s="12"/>
      <c r="B26" s="12"/>
      <c r="C26" s="12"/>
      <c r="D26" s="12"/>
    </row>
    <row r="27" spans="1:7" ht="24">
      <c r="A27" s="12"/>
      <c r="B27" s="46" t="s">
        <v>18</v>
      </c>
      <c r="C27" s="641"/>
      <c r="D27" s="12" t="s">
        <v>16</v>
      </c>
    </row>
    <row r="28" spans="1:7" ht="24">
      <c r="A28" s="12"/>
      <c r="B28" s="12"/>
      <c r="C28" s="47" t="s">
        <v>132</v>
      </c>
      <c r="D28" s="12"/>
    </row>
    <row r="29" spans="1:7" ht="24">
      <c r="A29" s="12"/>
      <c r="B29" s="12"/>
      <c r="C29" s="641"/>
      <c r="D29" s="48" t="s">
        <v>17</v>
      </c>
    </row>
    <row r="30" spans="1:7" ht="24">
      <c r="A30" s="12"/>
      <c r="B30" s="12"/>
      <c r="C30" s="47" t="s">
        <v>63</v>
      </c>
      <c r="D30" s="48"/>
    </row>
    <row r="31" spans="1:7" ht="24">
      <c r="A31" s="12"/>
      <c r="B31" s="12"/>
      <c r="C31" s="641"/>
      <c r="D31" s="12" t="s">
        <v>17</v>
      </c>
    </row>
    <row r="32" spans="1:7" ht="24">
      <c r="A32" s="12"/>
      <c r="B32" s="47"/>
      <c r="C32" s="47" t="s">
        <v>490</v>
      </c>
      <c r="D32" s="48"/>
    </row>
    <row r="33" spans="1:4" ht="24">
      <c r="A33" s="12"/>
      <c r="B33" s="47"/>
      <c r="C33" s="47"/>
      <c r="D33" s="48"/>
    </row>
    <row r="34" spans="1:4" ht="24">
      <c r="A34" s="12"/>
      <c r="B34" s="47"/>
      <c r="C34" s="47"/>
      <c r="D34" s="48"/>
    </row>
    <row r="35" spans="1:4" ht="24">
      <c r="A35" s="12"/>
      <c r="B35" s="12"/>
      <c r="C35" s="47"/>
      <c r="D35" s="12"/>
    </row>
    <row r="36" spans="1:4" ht="24">
      <c r="A36" s="12"/>
      <c r="B36" s="12"/>
      <c r="C36" s="47"/>
      <c r="D36" s="48" t="s">
        <v>57</v>
      </c>
    </row>
  </sheetData>
  <mergeCells count="6">
    <mergeCell ref="A23:A25"/>
    <mergeCell ref="C25:D25"/>
    <mergeCell ref="A11:A12"/>
    <mergeCell ref="B11:B12"/>
    <mergeCell ref="C11:C12"/>
    <mergeCell ref="D11:D12"/>
  </mergeCells>
  <printOptions horizontalCentered="1" verticalCentered="1"/>
  <pageMargins left="0.46" right="0.3" top="0.28000000000000003" bottom="0.39370078740157483" header="0.23" footer="0.31496062992125984"/>
  <pageSetup paperSize="9" scale="92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indexed="35"/>
  </sheetPr>
  <dimension ref="A1:J72"/>
  <sheetViews>
    <sheetView tabSelected="1" view="pageBreakPreview" zoomScaleSheetLayoutView="100" workbookViewId="0">
      <selection activeCell="B17" sqref="B17"/>
    </sheetView>
  </sheetViews>
  <sheetFormatPr defaultColWidth="9.140625" defaultRowHeight="17.25"/>
  <cols>
    <col min="1" max="1" width="7.5703125" style="14" customWidth="1"/>
    <col min="2" max="2" width="30.140625" style="14" customWidth="1"/>
    <col min="3" max="3" width="20.7109375" style="14" customWidth="1"/>
    <col min="4" max="4" width="10.5703125" style="14" customWidth="1"/>
    <col min="5" max="5" width="18.140625" style="14" customWidth="1"/>
    <col min="6" max="6" width="16.140625" style="14" customWidth="1"/>
    <col min="7" max="7" width="9.140625" style="14"/>
    <col min="8" max="8" width="15.85546875" style="14" bestFit="1" customWidth="1"/>
    <col min="9" max="16384" width="9.140625" style="14"/>
  </cols>
  <sheetData>
    <row r="1" spans="1:6" ht="24">
      <c r="A1" s="12"/>
      <c r="B1" s="12"/>
      <c r="C1" s="12"/>
      <c r="D1" s="12"/>
      <c r="E1" s="12"/>
      <c r="F1" s="13" t="s">
        <v>27</v>
      </c>
    </row>
    <row r="2" spans="1:6" ht="24">
      <c r="A2" s="651" t="s">
        <v>53</v>
      </c>
      <c r="B2" s="651"/>
      <c r="C2" s="651"/>
      <c r="D2" s="651"/>
      <c r="E2" s="651"/>
      <c r="F2" s="651"/>
    </row>
    <row r="3" spans="1:6" ht="24">
      <c r="A3" s="652" t="s">
        <v>518</v>
      </c>
      <c r="B3" s="652"/>
      <c r="C3" s="652"/>
      <c r="D3" s="652"/>
      <c r="E3" s="652"/>
      <c r="F3" s="652"/>
    </row>
    <row r="4" spans="1:6" ht="24">
      <c r="A4" s="49" t="str">
        <f>' ปร.6'!A3</f>
        <v>ชื่อโครง  โครงการปรับปรุงห้องปฏิบัติการเคมี อาคาร sc.04 คณะวิทยาศาสตร์</v>
      </c>
      <c r="B4" s="21"/>
      <c r="C4" s="21"/>
      <c r="D4" s="21"/>
      <c r="E4" s="21"/>
      <c r="F4" s="21"/>
    </row>
    <row r="5" spans="1:6" ht="24">
      <c r="A5" s="20" t="s">
        <v>55</v>
      </c>
      <c r="B5" s="21"/>
      <c r="C5" s="21"/>
      <c r="D5" s="21"/>
      <c r="E5" s="21"/>
      <c r="F5" s="21"/>
    </row>
    <row r="6" spans="1:6" ht="24">
      <c r="A6" s="21" t="s">
        <v>86</v>
      </c>
      <c r="B6" s="21"/>
      <c r="C6" s="21"/>
      <c r="D6" s="21"/>
      <c r="E6" s="21"/>
      <c r="F6" s="21"/>
    </row>
    <row r="7" spans="1:6" ht="24">
      <c r="A7" s="21" t="s">
        <v>87</v>
      </c>
      <c r="B7" s="21"/>
      <c r="C7" s="21"/>
      <c r="D7" s="21"/>
      <c r="E7" s="21"/>
      <c r="F7" s="21"/>
    </row>
    <row r="8" spans="1:6" ht="24">
      <c r="A8" s="21" t="s">
        <v>26</v>
      </c>
      <c r="B8" s="21"/>
      <c r="C8" s="50" t="s">
        <v>24</v>
      </c>
      <c r="D8" s="51"/>
      <c r="E8" s="21" t="s">
        <v>25</v>
      </c>
      <c r="F8" s="21"/>
    </row>
    <row r="9" spans="1:6" ht="24">
      <c r="A9" s="21" t="s">
        <v>42</v>
      </c>
      <c r="B9" s="52"/>
      <c r="C9" s="21"/>
      <c r="D9" s="21"/>
      <c r="E9" s="21"/>
      <c r="F9" s="21"/>
    </row>
    <row r="10" spans="1:6" ht="24.75" thickBot="1">
      <c r="A10" s="12"/>
      <c r="B10" s="12"/>
      <c r="C10" s="12"/>
      <c r="D10" s="12"/>
      <c r="E10" s="12"/>
      <c r="F10" s="23" t="s">
        <v>22</v>
      </c>
    </row>
    <row r="11" spans="1:6" ht="22.5" customHeight="1" thickTop="1">
      <c r="A11" s="647" t="s">
        <v>0</v>
      </c>
      <c r="B11" s="647" t="s">
        <v>1</v>
      </c>
      <c r="C11" s="647" t="s">
        <v>12</v>
      </c>
      <c r="D11" s="647" t="s">
        <v>7</v>
      </c>
      <c r="E11" s="647" t="s">
        <v>15</v>
      </c>
      <c r="F11" s="647" t="s">
        <v>5</v>
      </c>
    </row>
    <row r="12" spans="1:6" ht="20.25" customHeight="1" thickBot="1">
      <c r="A12" s="644"/>
      <c r="B12" s="644"/>
      <c r="C12" s="644"/>
      <c r="D12" s="644"/>
      <c r="E12" s="644"/>
      <c r="F12" s="644"/>
    </row>
    <row r="13" spans="1:6" ht="24.75" thickTop="1">
      <c r="A13" s="24">
        <v>1</v>
      </c>
      <c r="B13" s="25" t="s">
        <v>10</v>
      </c>
      <c r="C13" s="26">
        <f>'Summary cost'!E25</f>
        <v>17894856.800000001</v>
      </c>
      <c r="D13" s="27">
        <f>'Summary cost'!B37</f>
        <v>1.2565999999999999</v>
      </c>
      <c r="E13" s="26">
        <f>C13*D13</f>
        <v>22486677.054880001</v>
      </c>
      <c r="F13" s="25"/>
    </row>
    <row r="14" spans="1:6" ht="24">
      <c r="A14" s="28"/>
      <c r="B14" s="29"/>
      <c r="C14" s="30"/>
      <c r="D14" s="31"/>
      <c r="E14" s="31"/>
      <c r="F14" s="29"/>
    </row>
    <row r="15" spans="1:6" ht="24">
      <c r="A15" s="28"/>
      <c r="B15" s="29"/>
      <c r="C15" s="31"/>
      <c r="D15" s="31"/>
      <c r="E15" s="31"/>
      <c r="F15" s="29"/>
    </row>
    <row r="16" spans="1:6" ht="24">
      <c r="A16" s="28"/>
      <c r="B16" s="29"/>
      <c r="C16" s="31"/>
      <c r="D16" s="31"/>
      <c r="E16" s="31"/>
      <c r="F16" s="29"/>
    </row>
    <row r="17" spans="1:10" ht="24">
      <c r="A17" s="28"/>
      <c r="B17" s="29"/>
      <c r="C17" s="31"/>
      <c r="D17" s="32"/>
      <c r="E17" s="31"/>
      <c r="F17" s="29"/>
    </row>
    <row r="18" spans="1:10" ht="24">
      <c r="A18" s="29"/>
      <c r="B18" s="28" t="s">
        <v>8</v>
      </c>
      <c r="C18" s="29"/>
      <c r="D18" s="29"/>
      <c r="E18" s="29"/>
      <c r="F18" s="29"/>
    </row>
    <row r="19" spans="1:10" ht="24">
      <c r="A19" s="29"/>
      <c r="B19" s="33">
        <v>0</v>
      </c>
      <c r="C19" s="29"/>
      <c r="D19" s="29"/>
      <c r="E19" s="29"/>
      <c r="F19" s="29"/>
    </row>
    <row r="20" spans="1:10" ht="24">
      <c r="A20" s="29"/>
      <c r="B20" s="34">
        <v>0</v>
      </c>
      <c r="C20" s="29"/>
      <c r="D20" s="29"/>
      <c r="E20" s="29"/>
      <c r="F20" s="29"/>
    </row>
    <row r="21" spans="1:10" ht="24">
      <c r="A21" s="29"/>
      <c r="B21" s="35">
        <v>7</v>
      </c>
      <c r="C21" s="29"/>
      <c r="D21" s="29"/>
      <c r="E21" s="29"/>
      <c r="F21" s="29"/>
    </row>
    <row r="22" spans="1:10" ht="24.75" thickBot="1">
      <c r="A22" s="36"/>
      <c r="B22" s="37">
        <v>7</v>
      </c>
      <c r="C22" s="36"/>
      <c r="D22" s="36"/>
      <c r="E22" s="36"/>
      <c r="F22" s="36"/>
    </row>
    <row r="23" spans="1:10" ht="24.75" thickBot="1">
      <c r="A23" s="642" t="s">
        <v>9</v>
      </c>
      <c r="B23" s="38" t="s">
        <v>28</v>
      </c>
      <c r="C23" s="38"/>
      <c r="D23" s="38"/>
      <c r="E23" s="53">
        <f>SUM(E13:E17)</f>
        <v>22486677.054880001</v>
      </c>
      <c r="F23" s="38"/>
      <c r="H23" s="54">
        <f>(E23-585000)</f>
        <v>21901677.054880001</v>
      </c>
      <c r="J23" s="54">
        <f>H23/585000</f>
        <v>37.43876419637607</v>
      </c>
    </row>
    <row r="24" spans="1:10" ht="24.95" customHeight="1" thickTop="1" thickBot="1">
      <c r="A24" s="644"/>
      <c r="B24" s="43" t="s">
        <v>11</v>
      </c>
      <c r="C24" s="649" t="str">
        <f>BAHTTEXT(E23)</f>
        <v>ยี่สิบสองล้านสี่แสนแปดหมื่นหกพันหกร้อยเจ็ดสิบเจ็ดบาทห้าสตางค์</v>
      </c>
      <c r="D24" s="649"/>
      <c r="E24" s="650"/>
      <c r="F24" s="649"/>
    </row>
    <row r="25" spans="1:10" ht="24.75" thickTop="1">
      <c r="A25" s="55"/>
      <c r="B25" s="56" t="s">
        <v>19</v>
      </c>
      <c r="C25" s="57"/>
      <c r="D25" s="55" t="s">
        <v>14</v>
      </c>
      <c r="E25" s="55"/>
      <c r="F25" s="55"/>
    </row>
    <row r="26" spans="1:10" ht="24">
      <c r="A26" s="21"/>
      <c r="B26" s="50" t="s">
        <v>21</v>
      </c>
      <c r="C26" s="58"/>
      <c r="D26" s="21" t="s">
        <v>20</v>
      </c>
      <c r="E26" s="21"/>
      <c r="F26" s="21"/>
    </row>
    <row r="27" spans="1:10" ht="24">
      <c r="A27" s="12"/>
      <c r="B27" s="12"/>
      <c r="C27" s="12"/>
      <c r="D27" s="12"/>
      <c r="E27" s="12"/>
      <c r="F27" s="12"/>
    </row>
    <row r="28" spans="1:10" ht="24">
      <c r="A28" s="12"/>
      <c r="B28" s="46" t="s">
        <v>18</v>
      </c>
      <c r="C28" s="641"/>
      <c r="D28" s="641"/>
      <c r="E28" s="12" t="s">
        <v>16</v>
      </c>
      <c r="F28" s="12"/>
    </row>
    <row r="29" spans="1:10" ht="24">
      <c r="A29" s="12"/>
      <c r="B29" s="12"/>
      <c r="C29" s="648" t="s">
        <v>132</v>
      </c>
      <c r="D29" s="648"/>
      <c r="E29" s="12"/>
      <c r="F29" s="12"/>
    </row>
    <row r="30" spans="1:10" ht="24">
      <c r="A30" s="12"/>
      <c r="B30" s="12"/>
      <c r="C30" s="641"/>
      <c r="D30" s="641"/>
      <c r="E30" s="48" t="s">
        <v>17</v>
      </c>
      <c r="F30" s="12"/>
    </row>
    <row r="31" spans="1:10" ht="22.5" customHeight="1">
      <c r="A31" s="12"/>
      <c r="B31" s="12"/>
      <c r="C31" s="648" t="s">
        <v>63</v>
      </c>
      <c r="D31" s="648"/>
      <c r="E31" s="48"/>
      <c r="F31" s="12"/>
    </row>
    <row r="32" spans="1:10" ht="24">
      <c r="A32" s="12"/>
      <c r="B32" s="12"/>
      <c r="C32" s="641"/>
      <c r="D32" s="641"/>
      <c r="E32" s="12" t="s">
        <v>17</v>
      </c>
      <c r="F32" s="12"/>
    </row>
    <row r="33" spans="1:6" ht="24" customHeight="1">
      <c r="A33" s="12"/>
      <c r="B33" s="47"/>
      <c r="C33" s="648" t="s">
        <v>490</v>
      </c>
      <c r="D33" s="648"/>
      <c r="E33" s="48"/>
      <c r="F33" s="12"/>
    </row>
    <row r="34" spans="1:6" ht="24">
      <c r="A34" s="12"/>
      <c r="B34" s="47"/>
      <c r="C34" s="47"/>
      <c r="D34" s="47"/>
      <c r="E34" s="48"/>
      <c r="F34" s="12"/>
    </row>
    <row r="35" spans="1:6" ht="24">
      <c r="A35" s="12"/>
      <c r="B35" s="47"/>
      <c r="C35" s="653"/>
      <c r="D35" s="653"/>
      <c r="E35" s="12"/>
      <c r="F35" s="12"/>
    </row>
    <row r="36" spans="1:6" ht="24">
      <c r="A36" s="12"/>
      <c r="B36" s="12"/>
      <c r="C36" s="12"/>
      <c r="D36" s="12"/>
      <c r="E36" s="12"/>
      <c r="F36" s="13" t="s">
        <v>29</v>
      </c>
    </row>
    <row r="37" spans="1:6" ht="24">
      <c r="A37" s="651" t="s">
        <v>30</v>
      </c>
      <c r="B37" s="651"/>
      <c r="C37" s="651"/>
      <c r="D37" s="651"/>
      <c r="E37" s="651"/>
      <c r="F37" s="651"/>
    </row>
    <row r="38" spans="1:6" ht="24">
      <c r="A38" s="652" t="str">
        <f>A3</f>
        <v>กลุ่มงาน/งาน งานออกแบบและก่อสร้าง กองอาคารและสถานที่ มหาวิทยาลัยขอนแก่น</v>
      </c>
      <c r="B38" s="652"/>
      <c r="C38" s="652"/>
      <c r="D38" s="652"/>
      <c r="E38" s="652"/>
      <c r="F38" s="652"/>
    </row>
    <row r="39" spans="1:6" ht="24">
      <c r="A39" s="20" t="str">
        <f>+A4</f>
        <v>ชื่อโครง  โครงการปรับปรุงห้องปฏิบัติการเคมี อาคาร sc.04 คณะวิทยาศาสตร์</v>
      </c>
      <c r="B39" s="21"/>
      <c r="C39" s="21"/>
      <c r="D39" s="21"/>
      <c r="E39" s="21"/>
      <c r="F39" s="21"/>
    </row>
    <row r="40" spans="1:6" ht="24">
      <c r="A40" s="20" t="s">
        <v>38</v>
      </c>
      <c r="B40" s="21"/>
      <c r="C40" s="21"/>
      <c r="D40" s="21"/>
      <c r="E40" s="21"/>
      <c r="F40" s="21"/>
    </row>
    <row r="41" spans="1:6" ht="24">
      <c r="A41" s="21" t="s">
        <v>86</v>
      </c>
      <c r="B41" s="21"/>
      <c r="C41" s="21"/>
      <c r="D41" s="21"/>
      <c r="E41" s="21"/>
      <c r="F41" s="21"/>
    </row>
    <row r="42" spans="1:6" ht="24">
      <c r="A42" s="21" t="s">
        <v>87</v>
      </c>
      <c r="B42" s="21"/>
      <c r="C42" s="21"/>
      <c r="D42" s="21"/>
      <c r="E42" s="21"/>
      <c r="F42" s="21"/>
    </row>
    <row r="43" spans="1:6" ht="24">
      <c r="A43" s="21" t="s">
        <v>26</v>
      </c>
      <c r="B43" s="21"/>
      <c r="C43" s="50" t="s">
        <v>24</v>
      </c>
      <c r="D43" s="51"/>
      <c r="E43" s="21" t="s">
        <v>25</v>
      </c>
      <c r="F43" s="21"/>
    </row>
    <row r="44" spans="1:6" ht="24">
      <c r="A44" s="21" t="str">
        <f>+A9</f>
        <v>คำนวณราคากลางเมื่อวันที่</v>
      </c>
      <c r="B44" s="21"/>
      <c r="C44" s="59"/>
      <c r="D44" s="21"/>
      <c r="E44" s="21"/>
      <c r="F44" s="21"/>
    </row>
    <row r="45" spans="1:6" ht="24.75" thickBot="1">
      <c r="A45" s="12"/>
      <c r="B45" s="12"/>
      <c r="C45" s="12"/>
      <c r="D45" s="12"/>
      <c r="E45" s="12"/>
      <c r="F45" s="23" t="s">
        <v>22</v>
      </c>
    </row>
    <row r="46" spans="1:6" ht="18" customHeight="1" thickTop="1">
      <c r="A46" s="647" t="s">
        <v>0</v>
      </c>
      <c r="B46" s="647" t="s">
        <v>1</v>
      </c>
      <c r="C46" s="647" t="s">
        <v>31</v>
      </c>
      <c r="D46" s="60" t="s">
        <v>41</v>
      </c>
      <c r="E46" s="647" t="s">
        <v>15</v>
      </c>
      <c r="F46" s="647" t="s">
        <v>5</v>
      </c>
    </row>
    <row r="47" spans="1:6" ht="18" customHeight="1" thickBot="1">
      <c r="A47" s="644"/>
      <c r="B47" s="644"/>
      <c r="C47" s="644"/>
      <c r="D47" s="61" t="s">
        <v>32</v>
      </c>
      <c r="E47" s="644"/>
      <c r="F47" s="644"/>
    </row>
    <row r="48" spans="1:6" ht="24.75" thickTop="1">
      <c r="A48" s="24">
        <v>1</v>
      </c>
      <c r="B48" s="26" t="s">
        <v>37</v>
      </c>
      <c r="C48" s="26">
        <f>'Summary cost'!E30</f>
        <v>5444636</v>
      </c>
      <c r="D48" s="92" t="s">
        <v>58</v>
      </c>
      <c r="E48" s="26">
        <f>C48*0.07+C48</f>
        <v>5825760.5199999996</v>
      </c>
      <c r="F48" s="25"/>
    </row>
    <row r="49" spans="1:6" ht="24">
      <c r="A49" s="28"/>
      <c r="B49" s="29"/>
      <c r="C49" s="30"/>
      <c r="D49" s="62"/>
      <c r="E49" s="31"/>
      <c r="F49" s="29"/>
    </row>
    <row r="50" spans="1:6" ht="24">
      <c r="A50" s="28"/>
      <c r="B50" s="29"/>
      <c r="C50" s="31"/>
      <c r="D50" s="62"/>
      <c r="E50" s="31"/>
      <c r="F50" s="29"/>
    </row>
    <row r="51" spans="1:6" ht="24">
      <c r="A51" s="28"/>
      <c r="B51" s="29"/>
      <c r="C51" s="31"/>
      <c r="D51" s="62"/>
      <c r="E51" s="31"/>
      <c r="F51" s="29"/>
    </row>
    <row r="52" spans="1:6" ht="24">
      <c r="A52" s="28"/>
      <c r="B52" s="29"/>
      <c r="C52" s="31"/>
      <c r="D52" s="63"/>
      <c r="E52" s="31"/>
      <c r="F52" s="29"/>
    </row>
    <row r="53" spans="1:6" ht="24">
      <c r="A53" s="29"/>
      <c r="B53" s="28"/>
      <c r="C53" s="29"/>
      <c r="D53" s="63"/>
      <c r="E53" s="29"/>
      <c r="F53" s="29"/>
    </row>
    <row r="54" spans="1:6" ht="24">
      <c r="A54" s="29"/>
      <c r="B54" s="33"/>
      <c r="C54" s="29"/>
      <c r="D54" s="63"/>
      <c r="E54" s="29"/>
      <c r="F54" s="29"/>
    </row>
    <row r="55" spans="1:6" ht="24">
      <c r="A55" s="29"/>
      <c r="B55" s="34"/>
      <c r="C55" s="29"/>
      <c r="D55" s="63"/>
      <c r="E55" s="29"/>
      <c r="F55" s="29"/>
    </row>
    <row r="56" spans="1:6" ht="24">
      <c r="A56" s="29"/>
      <c r="B56" s="35"/>
      <c r="C56" s="29"/>
      <c r="D56" s="63"/>
      <c r="E56" s="29"/>
      <c r="F56" s="29"/>
    </row>
    <row r="57" spans="1:6" ht="24.75" thickBot="1">
      <c r="A57" s="36"/>
      <c r="B57" s="37"/>
      <c r="C57" s="36"/>
      <c r="D57" s="64"/>
      <c r="E57" s="36"/>
      <c r="F57" s="36"/>
    </row>
    <row r="58" spans="1:6" ht="24.75" thickBot="1">
      <c r="A58" s="642" t="s">
        <v>9</v>
      </c>
      <c r="B58" s="38" t="s">
        <v>28</v>
      </c>
      <c r="C58" s="38"/>
      <c r="D58" s="38"/>
      <c r="E58" s="53">
        <f>SUM(E48:E52)</f>
        <v>5825760.5199999996</v>
      </c>
      <c r="F58" s="38"/>
    </row>
    <row r="59" spans="1:6" ht="25.5" thickTop="1" thickBot="1">
      <c r="A59" s="644"/>
      <c r="B59" s="43" t="s">
        <v>11</v>
      </c>
      <c r="C59" s="654" t="str">
        <f>BAHTTEXT(E58)</f>
        <v>ห้าล้านแปดแสนสองหมื่นห้าพันเจ็ดร้อยหกสิบบาทห้าสิบสองสตางค์</v>
      </c>
      <c r="D59" s="654"/>
      <c r="E59" s="655"/>
      <c r="F59" s="654"/>
    </row>
    <row r="60" spans="1:6" ht="24.75" thickTop="1">
      <c r="A60" s="65"/>
      <c r="B60" s="66"/>
      <c r="C60" s="67"/>
      <c r="D60" s="65"/>
      <c r="E60" s="65"/>
      <c r="F60" s="65"/>
    </row>
    <row r="61" spans="1:6" ht="24">
      <c r="A61" s="12"/>
      <c r="B61" s="46" t="s">
        <v>18</v>
      </c>
      <c r="C61" s="641"/>
      <c r="D61" s="641"/>
      <c r="E61" s="12" t="s">
        <v>16</v>
      </c>
      <c r="F61" s="12"/>
    </row>
    <row r="62" spans="1:6" ht="24">
      <c r="A62" s="12"/>
      <c r="B62" s="12"/>
      <c r="C62" s="648" t="s">
        <v>132</v>
      </c>
      <c r="D62" s="648"/>
      <c r="E62" s="12"/>
      <c r="F62" s="12"/>
    </row>
    <row r="63" spans="1:6" ht="24">
      <c r="A63" s="12"/>
      <c r="B63" s="12"/>
      <c r="C63" s="641"/>
      <c r="D63" s="641"/>
      <c r="E63" s="48" t="s">
        <v>17</v>
      </c>
      <c r="F63" s="12"/>
    </row>
    <row r="64" spans="1:6" ht="24">
      <c r="A64" s="12"/>
      <c r="B64" s="12"/>
      <c r="C64" s="648" t="s">
        <v>63</v>
      </c>
      <c r="D64" s="648"/>
      <c r="E64" s="48"/>
      <c r="F64" s="12"/>
    </row>
    <row r="65" spans="1:6" ht="24">
      <c r="A65" s="12"/>
      <c r="B65" s="12"/>
      <c r="C65" s="641"/>
      <c r="D65" s="641"/>
      <c r="E65" s="12" t="s">
        <v>17</v>
      </c>
      <c r="F65" s="12"/>
    </row>
    <row r="66" spans="1:6" ht="24">
      <c r="A66" s="12"/>
      <c r="B66" s="47"/>
      <c r="C66" s="648" t="s">
        <v>490</v>
      </c>
      <c r="D66" s="648"/>
      <c r="E66" s="48"/>
      <c r="F66" s="12"/>
    </row>
    <row r="67" spans="1:6" ht="24">
      <c r="A67" s="12"/>
      <c r="B67" s="47"/>
      <c r="C67" s="653"/>
      <c r="D67" s="653"/>
      <c r="E67" s="48"/>
      <c r="F67" s="12"/>
    </row>
    <row r="68" spans="1:6" ht="24">
      <c r="A68" s="12"/>
      <c r="B68" s="47"/>
      <c r="C68" s="653"/>
      <c r="D68" s="653"/>
      <c r="E68" s="12"/>
      <c r="F68" s="12"/>
    </row>
    <row r="69" spans="1:6" ht="24">
      <c r="A69" s="12"/>
      <c r="B69" s="12"/>
      <c r="C69" s="653"/>
      <c r="D69" s="653"/>
      <c r="E69" s="12"/>
      <c r="F69" s="12"/>
    </row>
    <row r="70" spans="1:6" ht="24">
      <c r="A70" s="12"/>
      <c r="B70" s="12"/>
      <c r="C70" s="653"/>
      <c r="D70" s="653"/>
      <c r="E70" s="47"/>
      <c r="F70" s="12"/>
    </row>
    <row r="71" spans="1:6" ht="24">
      <c r="A71" s="12"/>
      <c r="B71" s="12"/>
      <c r="C71" s="12"/>
      <c r="D71" s="12"/>
      <c r="E71" s="12"/>
      <c r="F71" s="12"/>
    </row>
    <row r="72" spans="1:6" ht="24">
      <c r="A72" s="12"/>
      <c r="B72" s="12"/>
      <c r="C72" s="12"/>
      <c r="D72" s="12"/>
      <c r="E72" s="12"/>
      <c r="F72" s="12"/>
    </row>
  </sheetData>
  <mergeCells count="30">
    <mergeCell ref="C69:D69"/>
    <mergeCell ref="C70:D70"/>
    <mergeCell ref="C68:D68"/>
    <mergeCell ref="C62:D62"/>
    <mergeCell ref="C64:D64"/>
    <mergeCell ref="C66:D66"/>
    <mergeCell ref="A58:A59"/>
    <mergeCell ref="C67:D67"/>
    <mergeCell ref="C31:D31"/>
    <mergeCell ref="C35:D35"/>
    <mergeCell ref="C59:F59"/>
    <mergeCell ref="C33:D33"/>
    <mergeCell ref="A37:F37"/>
    <mergeCell ref="A38:F38"/>
    <mergeCell ref="A46:A47"/>
    <mergeCell ref="B46:B47"/>
    <mergeCell ref="C46:C47"/>
    <mergeCell ref="E46:E47"/>
    <mergeCell ref="F46:F47"/>
    <mergeCell ref="C29:D29"/>
    <mergeCell ref="C24:F24"/>
    <mergeCell ref="A2:F2"/>
    <mergeCell ref="A3:F3"/>
    <mergeCell ref="A11:A12"/>
    <mergeCell ref="B11:B12"/>
    <mergeCell ref="D11:D12"/>
    <mergeCell ref="F11:F12"/>
    <mergeCell ref="C11:C12"/>
    <mergeCell ref="E11:E12"/>
    <mergeCell ref="A23:A24"/>
  </mergeCells>
  <printOptions horizontalCentered="1" verticalCentered="1"/>
  <pageMargins left="0.47244094488188981" right="0.31496062992125984" top="0.27559055118110237" bottom="0.39370078740157483" header="0.23622047244094491" footer="0.31496062992125984"/>
  <pageSetup paperSize="9" scale="90" orientation="portrait" horizontalDpi="300" verticalDpi="300" r:id="rId1"/>
  <rowBreaks count="1" manualBreakCount="1">
    <brk id="35" max="5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K51"/>
  <sheetViews>
    <sheetView view="pageBreakPreview" topLeftCell="A16" zoomScale="110" zoomScaleNormal="98" zoomScaleSheetLayoutView="110" workbookViewId="0">
      <selection activeCell="A7" sqref="A7:F7"/>
    </sheetView>
  </sheetViews>
  <sheetFormatPr defaultColWidth="10.140625" defaultRowHeight="21.75"/>
  <cols>
    <col min="1" max="1" width="7.42578125" style="109" customWidth="1"/>
    <col min="2" max="2" width="52.5703125" style="109" customWidth="1"/>
    <col min="3" max="3" width="9.140625" style="109" customWidth="1"/>
    <col min="4" max="4" width="22" style="109" customWidth="1"/>
    <col min="5" max="5" width="22.140625" style="151" customWidth="1"/>
    <col min="6" max="6" width="20.42578125" style="109" customWidth="1"/>
    <col min="7" max="7" width="10.140625" style="109"/>
    <col min="8" max="8" width="25" style="109" customWidth="1"/>
    <col min="9" max="9" width="10.140625" style="109"/>
    <col min="10" max="10" width="11.28515625" style="109" bestFit="1" customWidth="1"/>
    <col min="11" max="256" width="10.140625" style="109"/>
    <col min="257" max="257" width="7.42578125" style="109" customWidth="1"/>
    <col min="258" max="258" width="52.5703125" style="109" customWidth="1"/>
    <col min="259" max="259" width="9.140625" style="109" customWidth="1"/>
    <col min="260" max="260" width="22" style="109" customWidth="1"/>
    <col min="261" max="261" width="22.140625" style="109" customWidth="1"/>
    <col min="262" max="262" width="20.42578125" style="109" customWidth="1"/>
    <col min="263" max="263" width="10.140625" style="109"/>
    <col min="264" max="264" width="25" style="109" customWidth="1"/>
    <col min="265" max="512" width="10.140625" style="109"/>
    <col min="513" max="513" width="7.42578125" style="109" customWidth="1"/>
    <col min="514" max="514" width="52.5703125" style="109" customWidth="1"/>
    <col min="515" max="515" width="9.140625" style="109" customWidth="1"/>
    <col min="516" max="516" width="22" style="109" customWidth="1"/>
    <col min="517" max="517" width="22.140625" style="109" customWidth="1"/>
    <col min="518" max="518" width="20.42578125" style="109" customWidth="1"/>
    <col min="519" max="519" width="10.140625" style="109"/>
    <col min="520" max="520" width="25" style="109" customWidth="1"/>
    <col min="521" max="768" width="10.140625" style="109"/>
    <col min="769" max="769" width="7.42578125" style="109" customWidth="1"/>
    <col min="770" max="770" width="52.5703125" style="109" customWidth="1"/>
    <col min="771" max="771" width="9.140625" style="109" customWidth="1"/>
    <col min="772" max="772" width="22" style="109" customWidth="1"/>
    <col min="773" max="773" width="22.140625" style="109" customWidth="1"/>
    <col min="774" max="774" width="20.42578125" style="109" customWidth="1"/>
    <col min="775" max="775" width="10.140625" style="109"/>
    <col min="776" max="776" width="25" style="109" customWidth="1"/>
    <col min="777" max="1024" width="10.140625" style="109"/>
    <col min="1025" max="1025" width="7.42578125" style="109" customWidth="1"/>
    <col min="1026" max="1026" width="52.5703125" style="109" customWidth="1"/>
    <col min="1027" max="1027" width="9.140625" style="109" customWidth="1"/>
    <col min="1028" max="1028" width="22" style="109" customWidth="1"/>
    <col min="1029" max="1029" width="22.140625" style="109" customWidth="1"/>
    <col min="1030" max="1030" width="20.42578125" style="109" customWidth="1"/>
    <col min="1031" max="1031" width="10.140625" style="109"/>
    <col min="1032" max="1032" width="25" style="109" customWidth="1"/>
    <col min="1033" max="1280" width="10.140625" style="109"/>
    <col min="1281" max="1281" width="7.42578125" style="109" customWidth="1"/>
    <col min="1282" max="1282" width="52.5703125" style="109" customWidth="1"/>
    <col min="1283" max="1283" width="9.140625" style="109" customWidth="1"/>
    <col min="1284" max="1284" width="22" style="109" customWidth="1"/>
    <col min="1285" max="1285" width="22.140625" style="109" customWidth="1"/>
    <col min="1286" max="1286" width="20.42578125" style="109" customWidth="1"/>
    <col min="1287" max="1287" width="10.140625" style="109"/>
    <col min="1288" max="1288" width="25" style="109" customWidth="1"/>
    <col min="1289" max="1536" width="10.140625" style="109"/>
    <col min="1537" max="1537" width="7.42578125" style="109" customWidth="1"/>
    <col min="1538" max="1538" width="52.5703125" style="109" customWidth="1"/>
    <col min="1539" max="1539" width="9.140625" style="109" customWidth="1"/>
    <col min="1540" max="1540" width="22" style="109" customWidth="1"/>
    <col min="1541" max="1541" width="22.140625" style="109" customWidth="1"/>
    <col min="1542" max="1542" width="20.42578125" style="109" customWidth="1"/>
    <col min="1543" max="1543" width="10.140625" style="109"/>
    <col min="1544" max="1544" width="25" style="109" customWidth="1"/>
    <col min="1545" max="1792" width="10.140625" style="109"/>
    <col min="1793" max="1793" width="7.42578125" style="109" customWidth="1"/>
    <col min="1794" max="1794" width="52.5703125" style="109" customWidth="1"/>
    <col min="1795" max="1795" width="9.140625" style="109" customWidth="1"/>
    <col min="1796" max="1796" width="22" style="109" customWidth="1"/>
    <col min="1797" max="1797" width="22.140625" style="109" customWidth="1"/>
    <col min="1798" max="1798" width="20.42578125" style="109" customWidth="1"/>
    <col min="1799" max="1799" width="10.140625" style="109"/>
    <col min="1800" max="1800" width="25" style="109" customWidth="1"/>
    <col min="1801" max="2048" width="10.140625" style="109"/>
    <col min="2049" max="2049" width="7.42578125" style="109" customWidth="1"/>
    <col min="2050" max="2050" width="52.5703125" style="109" customWidth="1"/>
    <col min="2051" max="2051" width="9.140625" style="109" customWidth="1"/>
    <col min="2052" max="2052" width="22" style="109" customWidth="1"/>
    <col min="2053" max="2053" width="22.140625" style="109" customWidth="1"/>
    <col min="2054" max="2054" width="20.42578125" style="109" customWidth="1"/>
    <col min="2055" max="2055" width="10.140625" style="109"/>
    <col min="2056" max="2056" width="25" style="109" customWidth="1"/>
    <col min="2057" max="2304" width="10.140625" style="109"/>
    <col min="2305" max="2305" width="7.42578125" style="109" customWidth="1"/>
    <col min="2306" max="2306" width="52.5703125" style="109" customWidth="1"/>
    <col min="2307" max="2307" width="9.140625" style="109" customWidth="1"/>
    <col min="2308" max="2308" width="22" style="109" customWidth="1"/>
    <col min="2309" max="2309" width="22.140625" style="109" customWidth="1"/>
    <col min="2310" max="2310" width="20.42578125" style="109" customWidth="1"/>
    <col min="2311" max="2311" width="10.140625" style="109"/>
    <col min="2312" max="2312" width="25" style="109" customWidth="1"/>
    <col min="2313" max="2560" width="10.140625" style="109"/>
    <col min="2561" max="2561" width="7.42578125" style="109" customWidth="1"/>
    <col min="2562" max="2562" width="52.5703125" style="109" customWidth="1"/>
    <col min="2563" max="2563" width="9.140625" style="109" customWidth="1"/>
    <col min="2564" max="2564" width="22" style="109" customWidth="1"/>
    <col min="2565" max="2565" width="22.140625" style="109" customWidth="1"/>
    <col min="2566" max="2566" width="20.42578125" style="109" customWidth="1"/>
    <col min="2567" max="2567" width="10.140625" style="109"/>
    <col min="2568" max="2568" width="25" style="109" customWidth="1"/>
    <col min="2569" max="2816" width="10.140625" style="109"/>
    <col min="2817" max="2817" width="7.42578125" style="109" customWidth="1"/>
    <col min="2818" max="2818" width="52.5703125" style="109" customWidth="1"/>
    <col min="2819" max="2819" width="9.140625" style="109" customWidth="1"/>
    <col min="2820" max="2820" width="22" style="109" customWidth="1"/>
    <col min="2821" max="2821" width="22.140625" style="109" customWidth="1"/>
    <col min="2822" max="2822" width="20.42578125" style="109" customWidth="1"/>
    <col min="2823" max="2823" width="10.140625" style="109"/>
    <col min="2824" max="2824" width="25" style="109" customWidth="1"/>
    <col min="2825" max="3072" width="10.140625" style="109"/>
    <col min="3073" max="3073" width="7.42578125" style="109" customWidth="1"/>
    <col min="3074" max="3074" width="52.5703125" style="109" customWidth="1"/>
    <col min="3075" max="3075" width="9.140625" style="109" customWidth="1"/>
    <col min="3076" max="3076" width="22" style="109" customWidth="1"/>
    <col min="3077" max="3077" width="22.140625" style="109" customWidth="1"/>
    <col min="3078" max="3078" width="20.42578125" style="109" customWidth="1"/>
    <col min="3079" max="3079" width="10.140625" style="109"/>
    <col min="3080" max="3080" width="25" style="109" customWidth="1"/>
    <col min="3081" max="3328" width="10.140625" style="109"/>
    <col min="3329" max="3329" width="7.42578125" style="109" customWidth="1"/>
    <col min="3330" max="3330" width="52.5703125" style="109" customWidth="1"/>
    <col min="3331" max="3331" width="9.140625" style="109" customWidth="1"/>
    <col min="3332" max="3332" width="22" style="109" customWidth="1"/>
    <col min="3333" max="3333" width="22.140625" style="109" customWidth="1"/>
    <col min="3334" max="3334" width="20.42578125" style="109" customWidth="1"/>
    <col min="3335" max="3335" width="10.140625" style="109"/>
    <col min="3336" max="3336" width="25" style="109" customWidth="1"/>
    <col min="3337" max="3584" width="10.140625" style="109"/>
    <col min="3585" max="3585" width="7.42578125" style="109" customWidth="1"/>
    <col min="3586" max="3586" width="52.5703125" style="109" customWidth="1"/>
    <col min="3587" max="3587" width="9.140625" style="109" customWidth="1"/>
    <col min="3588" max="3588" width="22" style="109" customWidth="1"/>
    <col min="3589" max="3589" width="22.140625" style="109" customWidth="1"/>
    <col min="3590" max="3590" width="20.42578125" style="109" customWidth="1"/>
    <col min="3591" max="3591" width="10.140625" style="109"/>
    <col min="3592" max="3592" width="25" style="109" customWidth="1"/>
    <col min="3593" max="3840" width="10.140625" style="109"/>
    <col min="3841" max="3841" width="7.42578125" style="109" customWidth="1"/>
    <col min="3842" max="3842" width="52.5703125" style="109" customWidth="1"/>
    <col min="3843" max="3843" width="9.140625" style="109" customWidth="1"/>
    <col min="3844" max="3844" width="22" style="109" customWidth="1"/>
    <col min="3845" max="3845" width="22.140625" style="109" customWidth="1"/>
    <col min="3846" max="3846" width="20.42578125" style="109" customWidth="1"/>
    <col min="3847" max="3847" width="10.140625" style="109"/>
    <col min="3848" max="3848" width="25" style="109" customWidth="1"/>
    <col min="3849" max="4096" width="10.140625" style="109"/>
    <col min="4097" max="4097" width="7.42578125" style="109" customWidth="1"/>
    <col min="4098" max="4098" width="52.5703125" style="109" customWidth="1"/>
    <col min="4099" max="4099" width="9.140625" style="109" customWidth="1"/>
    <col min="4100" max="4100" width="22" style="109" customWidth="1"/>
    <col min="4101" max="4101" width="22.140625" style="109" customWidth="1"/>
    <col min="4102" max="4102" width="20.42578125" style="109" customWidth="1"/>
    <col min="4103" max="4103" width="10.140625" style="109"/>
    <col min="4104" max="4104" width="25" style="109" customWidth="1"/>
    <col min="4105" max="4352" width="10.140625" style="109"/>
    <col min="4353" max="4353" width="7.42578125" style="109" customWidth="1"/>
    <col min="4354" max="4354" width="52.5703125" style="109" customWidth="1"/>
    <col min="4355" max="4355" width="9.140625" style="109" customWidth="1"/>
    <col min="4356" max="4356" width="22" style="109" customWidth="1"/>
    <col min="4357" max="4357" width="22.140625" style="109" customWidth="1"/>
    <col min="4358" max="4358" width="20.42578125" style="109" customWidth="1"/>
    <col min="4359" max="4359" width="10.140625" style="109"/>
    <col min="4360" max="4360" width="25" style="109" customWidth="1"/>
    <col min="4361" max="4608" width="10.140625" style="109"/>
    <col min="4609" max="4609" width="7.42578125" style="109" customWidth="1"/>
    <col min="4610" max="4610" width="52.5703125" style="109" customWidth="1"/>
    <col min="4611" max="4611" width="9.140625" style="109" customWidth="1"/>
    <col min="4612" max="4612" width="22" style="109" customWidth="1"/>
    <col min="4613" max="4613" width="22.140625" style="109" customWidth="1"/>
    <col min="4614" max="4614" width="20.42578125" style="109" customWidth="1"/>
    <col min="4615" max="4615" width="10.140625" style="109"/>
    <col min="4616" max="4616" width="25" style="109" customWidth="1"/>
    <col min="4617" max="4864" width="10.140625" style="109"/>
    <col min="4865" max="4865" width="7.42578125" style="109" customWidth="1"/>
    <col min="4866" max="4866" width="52.5703125" style="109" customWidth="1"/>
    <col min="4867" max="4867" width="9.140625" style="109" customWidth="1"/>
    <col min="4868" max="4868" width="22" style="109" customWidth="1"/>
    <col min="4869" max="4869" width="22.140625" style="109" customWidth="1"/>
    <col min="4870" max="4870" width="20.42578125" style="109" customWidth="1"/>
    <col min="4871" max="4871" width="10.140625" style="109"/>
    <col min="4872" max="4872" width="25" style="109" customWidth="1"/>
    <col min="4873" max="5120" width="10.140625" style="109"/>
    <col min="5121" max="5121" width="7.42578125" style="109" customWidth="1"/>
    <col min="5122" max="5122" width="52.5703125" style="109" customWidth="1"/>
    <col min="5123" max="5123" width="9.140625" style="109" customWidth="1"/>
    <col min="5124" max="5124" width="22" style="109" customWidth="1"/>
    <col min="5125" max="5125" width="22.140625" style="109" customWidth="1"/>
    <col min="5126" max="5126" width="20.42578125" style="109" customWidth="1"/>
    <col min="5127" max="5127" width="10.140625" style="109"/>
    <col min="5128" max="5128" width="25" style="109" customWidth="1"/>
    <col min="5129" max="5376" width="10.140625" style="109"/>
    <col min="5377" max="5377" width="7.42578125" style="109" customWidth="1"/>
    <col min="5378" max="5378" width="52.5703125" style="109" customWidth="1"/>
    <col min="5379" max="5379" width="9.140625" style="109" customWidth="1"/>
    <col min="5380" max="5380" width="22" style="109" customWidth="1"/>
    <col min="5381" max="5381" width="22.140625" style="109" customWidth="1"/>
    <col min="5382" max="5382" width="20.42578125" style="109" customWidth="1"/>
    <col min="5383" max="5383" width="10.140625" style="109"/>
    <col min="5384" max="5384" width="25" style="109" customWidth="1"/>
    <col min="5385" max="5632" width="10.140625" style="109"/>
    <col min="5633" max="5633" width="7.42578125" style="109" customWidth="1"/>
    <col min="5634" max="5634" width="52.5703125" style="109" customWidth="1"/>
    <col min="5635" max="5635" width="9.140625" style="109" customWidth="1"/>
    <col min="5636" max="5636" width="22" style="109" customWidth="1"/>
    <col min="5637" max="5637" width="22.140625" style="109" customWidth="1"/>
    <col min="5638" max="5638" width="20.42578125" style="109" customWidth="1"/>
    <col min="5639" max="5639" width="10.140625" style="109"/>
    <col min="5640" max="5640" width="25" style="109" customWidth="1"/>
    <col min="5641" max="5888" width="10.140625" style="109"/>
    <col min="5889" max="5889" width="7.42578125" style="109" customWidth="1"/>
    <col min="5890" max="5890" width="52.5703125" style="109" customWidth="1"/>
    <col min="5891" max="5891" width="9.140625" style="109" customWidth="1"/>
    <col min="5892" max="5892" width="22" style="109" customWidth="1"/>
    <col min="5893" max="5893" width="22.140625" style="109" customWidth="1"/>
    <col min="5894" max="5894" width="20.42578125" style="109" customWidth="1"/>
    <col min="5895" max="5895" width="10.140625" style="109"/>
    <col min="5896" max="5896" width="25" style="109" customWidth="1"/>
    <col min="5897" max="6144" width="10.140625" style="109"/>
    <col min="6145" max="6145" width="7.42578125" style="109" customWidth="1"/>
    <col min="6146" max="6146" width="52.5703125" style="109" customWidth="1"/>
    <col min="6147" max="6147" width="9.140625" style="109" customWidth="1"/>
    <col min="6148" max="6148" width="22" style="109" customWidth="1"/>
    <col min="6149" max="6149" width="22.140625" style="109" customWidth="1"/>
    <col min="6150" max="6150" width="20.42578125" style="109" customWidth="1"/>
    <col min="6151" max="6151" width="10.140625" style="109"/>
    <col min="6152" max="6152" width="25" style="109" customWidth="1"/>
    <col min="6153" max="6400" width="10.140625" style="109"/>
    <col min="6401" max="6401" width="7.42578125" style="109" customWidth="1"/>
    <col min="6402" max="6402" width="52.5703125" style="109" customWidth="1"/>
    <col min="6403" max="6403" width="9.140625" style="109" customWidth="1"/>
    <col min="6404" max="6404" width="22" style="109" customWidth="1"/>
    <col min="6405" max="6405" width="22.140625" style="109" customWidth="1"/>
    <col min="6406" max="6406" width="20.42578125" style="109" customWidth="1"/>
    <col min="6407" max="6407" width="10.140625" style="109"/>
    <col min="6408" max="6408" width="25" style="109" customWidth="1"/>
    <col min="6409" max="6656" width="10.140625" style="109"/>
    <col min="6657" max="6657" width="7.42578125" style="109" customWidth="1"/>
    <col min="6658" max="6658" width="52.5703125" style="109" customWidth="1"/>
    <col min="6659" max="6659" width="9.140625" style="109" customWidth="1"/>
    <col min="6660" max="6660" width="22" style="109" customWidth="1"/>
    <col min="6661" max="6661" width="22.140625" style="109" customWidth="1"/>
    <col min="6662" max="6662" width="20.42578125" style="109" customWidth="1"/>
    <col min="6663" max="6663" width="10.140625" style="109"/>
    <col min="6664" max="6664" width="25" style="109" customWidth="1"/>
    <col min="6665" max="6912" width="10.140625" style="109"/>
    <col min="6913" max="6913" width="7.42578125" style="109" customWidth="1"/>
    <col min="6914" max="6914" width="52.5703125" style="109" customWidth="1"/>
    <col min="6915" max="6915" width="9.140625" style="109" customWidth="1"/>
    <col min="6916" max="6916" width="22" style="109" customWidth="1"/>
    <col min="6917" max="6917" width="22.140625" style="109" customWidth="1"/>
    <col min="6918" max="6918" width="20.42578125" style="109" customWidth="1"/>
    <col min="6919" max="6919" width="10.140625" style="109"/>
    <col min="6920" max="6920" width="25" style="109" customWidth="1"/>
    <col min="6921" max="7168" width="10.140625" style="109"/>
    <col min="7169" max="7169" width="7.42578125" style="109" customWidth="1"/>
    <col min="7170" max="7170" width="52.5703125" style="109" customWidth="1"/>
    <col min="7171" max="7171" width="9.140625" style="109" customWidth="1"/>
    <col min="7172" max="7172" width="22" style="109" customWidth="1"/>
    <col min="7173" max="7173" width="22.140625" style="109" customWidth="1"/>
    <col min="7174" max="7174" width="20.42578125" style="109" customWidth="1"/>
    <col min="7175" max="7175" width="10.140625" style="109"/>
    <col min="7176" max="7176" width="25" style="109" customWidth="1"/>
    <col min="7177" max="7424" width="10.140625" style="109"/>
    <col min="7425" max="7425" width="7.42578125" style="109" customWidth="1"/>
    <col min="7426" max="7426" width="52.5703125" style="109" customWidth="1"/>
    <col min="7427" max="7427" width="9.140625" style="109" customWidth="1"/>
    <col min="7428" max="7428" width="22" style="109" customWidth="1"/>
    <col min="7429" max="7429" width="22.140625" style="109" customWidth="1"/>
    <col min="7430" max="7430" width="20.42578125" style="109" customWidth="1"/>
    <col min="7431" max="7431" width="10.140625" style="109"/>
    <col min="7432" max="7432" width="25" style="109" customWidth="1"/>
    <col min="7433" max="7680" width="10.140625" style="109"/>
    <col min="7681" max="7681" width="7.42578125" style="109" customWidth="1"/>
    <col min="7682" max="7682" width="52.5703125" style="109" customWidth="1"/>
    <col min="7683" max="7683" width="9.140625" style="109" customWidth="1"/>
    <col min="7684" max="7684" width="22" style="109" customWidth="1"/>
    <col min="7685" max="7685" width="22.140625" style="109" customWidth="1"/>
    <col min="7686" max="7686" width="20.42578125" style="109" customWidth="1"/>
    <col min="7687" max="7687" width="10.140625" style="109"/>
    <col min="7688" max="7688" width="25" style="109" customWidth="1"/>
    <col min="7689" max="7936" width="10.140625" style="109"/>
    <col min="7937" max="7937" width="7.42578125" style="109" customWidth="1"/>
    <col min="7938" max="7938" width="52.5703125" style="109" customWidth="1"/>
    <col min="7939" max="7939" width="9.140625" style="109" customWidth="1"/>
    <col min="7940" max="7940" width="22" style="109" customWidth="1"/>
    <col min="7941" max="7941" width="22.140625" style="109" customWidth="1"/>
    <col min="7942" max="7942" width="20.42578125" style="109" customWidth="1"/>
    <col min="7943" max="7943" width="10.140625" style="109"/>
    <col min="7944" max="7944" width="25" style="109" customWidth="1"/>
    <col min="7945" max="8192" width="10.140625" style="109"/>
    <col min="8193" max="8193" width="7.42578125" style="109" customWidth="1"/>
    <col min="8194" max="8194" width="52.5703125" style="109" customWidth="1"/>
    <col min="8195" max="8195" width="9.140625" style="109" customWidth="1"/>
    <col min="8196" max="8196" width="22" style="109" customWidth="1"/>
    <col min="8197" max="8197" width="22.140625" style="109" customWidth="1"/>
    <col min="8198" max="8198" width="20.42578125" style="109" customWidth="1"/>
    <col min="8199" max="8199" width="10.140625" style="109"/>
    <col min="8200" max="8200" width="25" style="109" customWidth="1"/>
    <col min="8201" max="8448" width="10.140625" style="109"/>
    <col min="8449" max="8449" width="7.42578125" style="109" customWidth="1"/>
    <col min="8450" max="8450" width="52.5703125" style="109" customWidth="1"/>
    <col min="8451" max="8451" width="9.140625" style="109" customWidth="1"/>
    <col min="8452" max="8452" width="22" style="109" customWidth="1"/>
    <col min="8453" max="8453" width="22.140625" style="109" customWidth="1"/>
    <col min="8454" max="8454" width="20.42578125" style="109" customWidth="1"/>
    <col min="8455" max="8455" width="10.140625" style="109"/>
    <col min="8456" max="8456" width="25" style="109" customWidth="1"/>
    <col min="8457" max="8704" width="10.140625" style="109"/>
    <col min="8705" max="8705" width="7.42578125" style="109" customWidth="1"/>
    <col min="8706" max="8706" width="52.5703125" style="109" customWidth="1"/>
    <col min="8707" max="8707" width="9.140625" style="109" customWidth="1"/>
    <col min="8708" max="8708" width="22" style="109" customWidth="1"/>
    <col min="8709" max="8709" width="22.140625" style="109" customWidth="1"/>
    <col min="8710" max="8710" width="20.42578125" style="109" customWidth="1"/>
    <col min="8711" max="8711" width="10.140625" style="109"/>
    <col min="8712" max="8712" width="25" style="109" customWidth="1"/>
    <col min="8713" max="8960" width="10.140625" style="109"/>
    <col min="8961" max="8961" width="7.42578125" style="109" customWidth="1"/>
    <col min="8962" max="8962" width="52.5703125" style="109" customWidth="1"/>
    <col min="8963" max="8963" width="9.140625" style="109" customWidth="1"/>
    <col min="8964" max="8964" width="22" style="109" customWidth="1"/>
    <col min="8965" max="8965" width="22.140625" style="109" customWidth="1"/>
    <col min="8966" max="8966" width="20.42578125" style="109" customWidth="1"/>
    <col min="8967" max="8967" width="10.140625" style="109"/>
    <col min="8968" max="8968" width="25" style="109" customWidth="1"/>
    <col min="8969" max="9216" width="10.140625" style="109"/>
    <col min="9217" max="9217" width="7.42578125" style="109" customWidth="1"/>
    <col min="9218" max="9218" width="52.5703125" style="109" customWidth="1"/>
    <col min="9219" max="9219" width="9.140625" style="109" customWidth="1"/>
    <col min="9220" max="9220" width="22" style="109" customWidth="1"/>
    <col min="9221" max="9221" width="22.140625" style="109" customWidth="1"/>
    <col min="9222" max="9222" width="20.42578125" style="109" customWidth="1"/>
    <col min="9223" max="9223" width="10.140625" style="109"/>
    <col min="9224" max="9224" width="25" style="109" customWidth="1"/>
    <col min="9225" max="9472" width="10.140625" style="109"/>
    <col min="9473" max="9473" width="7.42578125" style="109" customWidth="1"/>
    <col min="9474" max="9474" width="52.5703125" style="109" customWidth="1"/>
    <col min="9475" max="9475" width="9.140625" style="109" customWidth="1"/>
    <col min="9476" max="9476" width="22" style="109" customWidth="1"/>
    <col min="9477" max="9477" width="22.140625" style="109" customWidth="1"/>
    <col min="9478" max="9478" width="20.42578125" style="109" customWidth="1"/>
    <col min="9479" max="9479" width="10.140625" style="109"/>
    <col min="9480" max="9480" width="25" style="109" customWidth="1"/>
    <col min="9481" max="9728" width="10.140625" style="109"/>
    <col min="9729" max="9729" width="7.42578125" style="109" customWidth="1"/>
    <col min="9730" max="9730" width="52.5703125" style="109" customWidth="1"/>
    <col min="9731" max="9731" width="9.140625" style="109" customWidth="1"/>
    <col min="9732" max="9732" width="22" style="109" customWidth="1"/>
    <col min="9733" max="9733" width="22.140625" style="109" customWidth="1"/>
    <col min="9734" max="9734" width="20.42578125" style="109" customWidth="1"/>
    <col min="9735" max="9735" width="10.140625" style="109"/>
    <col min="9736" max="9736" width="25" style="109" customWidth="1"/>
    <col min="9737" max="9984" width="10.140625" style="109"/>
    <col min="9985" max="9985" width="7.42578125" style="109" customWidth="1"/>
    <col min="9986" max="9986" width="52.5703125" style="109" customWidth="1"/>
    <col min="9987" max="9987" width="9.140625" style="109" customWidth="1"/>
    <col min="9988" max="9988" width="22" style="109" customWidth="1"/>
    <col min="9989" max="9989" width="22.140625" style="109" customWidth="1"/>
    <col min="9990" max="9990" width="20.42578125" style="109" customWidth="1"/>
    <col min="9991" max="9991" width="10.140625" style="109"/>
    <col min="9992" max="9992" width="25" style="109" customWidth="1"/>
    <col min="9993" max="10240" width="10.140625" style="109"/>
    <col min="10241" max="10241" width="7.42578125" style="109" customWidth="1"/>
    <col min="10242" max="10242" width="52.5703125" style="109" customWidth="1"/>
    <col min="10243" max="10243" width="9.140625" style="109" customWidth="1"/>
    <col min="10244" max="10244" width="22" style="109" customWidth="1"/>
    <col min="10245" max="10245" width="22.140625" style="109" customWidth="1"/>
    <col min="10246" max="10246" width="20.42578125" style="109" customWidth="1"/>
    <col min="10247" max="10247" width="10.140625" style="109"/>
    <col min="10248" max="10248" width="25" style="109" customWidth="1"/>
    <col min="10249" max="10496" width="10.140625" style="109"/>
    <col min="10497" max="10497" width="7.42578125" style="109" customWidth="1"/>
    <col min="10498" max="10498" width="52.5703125" style="109" customWidth="1"/>
    <col min="10499" max="10499" width="9.140625" style="109" customWidth="1"/>
    <col min="10500" max="10500" width="22" style="109" customWidth="1"/>
    <col min="10501" max="10501" width="22.140625" style="109" customWidth="1"/>
    <col min="10502" max="10502" width="20.42578125" style="109" customWidth="1"/>
    <col min="10503" max="10503" width="10.140625" style="109"/>
    <col min="10504" max="10504" width="25" style="109" customWidth="1"/>
    <col min="10505" max="10752" width="10.140625" style="109"/>
    <col min="10753" max="10753" width="7.42578125" style="109" customWidth="1"/>
    <col min="10754" max="10754" width="52.5703125" style="109" customWidth="1"/>
    <col min="10755" max="10755" width="9.140625" style="109" customWidth="1"/>
    <col min="10756" max="10756" width="22" style="109" customWidth="1"/>
    <col min="10757" max="10757" width="22.140625" style="109" customWidth="1"/>
    <col min="10758" max="10758" width="20.42578125" style="109" customWidth="1"/>
    <col min="10759" max="10759" width="10.140625" style="109"/>
    <col min="10760" max="10760" width="25" style="109" customWidth="1"/>
    <col min="10761" max="11008" width="10.140625" style="109"/>
    <col min="11009" max="11009" width="7.42578125" style="109" customWidth="1"/>
    <col min="11010" max="11010" width="52.5703125" style="109" customWidth="1"/>
    <col min="11011" max="11011" width="9.140625" style="109" customWidth="1"/>
    <col min="11012" max="11012" width="22" style="109" customWidth="1"/>
    <col min="11013" max="11013" width="22.140625" style="109" customWidth="1"/>
    <col min="11014" max="11014" width="20.42578125" style="109" customWidth="1"/>
    <col min="11015" max="11015" width="10.140625" style="109"/>
    <col min="11016" max="11016" width="25" style="109" customWidth="1"/>
    <col min="11017" max="11264" width="10.140625" style="109"/>
    <col min="11265" max="11265" width="7.42578125" style="109" customWidth="1"/>
    <col min="11266" max="11266" width="52.5703125" style="109" customWidth="1"/>
    <col min="11267" max="11267" width="9.140625" style="109" customWidth="1"/>
    <col min="11268" max="11268" width="22" style="109" customWidth="1"/>
    <col min="11269" max="11269" width="22.140625" style="109" customWidth="1"/>
    <col min="11270" max="11270" width="20.42578125" style="109" customWidth="1"/>
    <col min="11271" max="11271" width="10.140625" style="109"/>
    <col min="11272" max="11272" width="25" style="109" customWidth="1"/>
    <col min="11273" max="11520" width="10.140625" style="109"/>
    <col min="11521" max="11521" width="7.42578125" style="109" customWidth="1"/>
    <col min="11522" max="11522" width="52.5703125" style="109" customWidth="1"/>
    <col min="11523" max="11523" width="9.140625" style="109" customWidth="1"/>
    <col min="11524" max="11524" width="22" style="109" customWidth="1"/>
    <col min="11525" max="11525" width="22.140625" style="109" customWidth="1"/>
    <col min="11526" max="11526" width="20.42578125" style="109" customWidth="1"/>
    <col min="11527" max="11527" width="10.140625" style="109"/>
    <col min="11528" max="11528" width="25" style="109" customWidth="1"/>
    <col min="11529" max="11776" width="10.140625" style="109"/>
    <col min="11777" max="11777" width="7.42578125" style="109" customWidth="1"/>
    <col min="11778" max="11778" width="52.5703125" style="109" customWidth="1"/>
    <col min="11779" max="11779" width="9.140625" style="109" customWidth="1"/>
    <col min="11780" max="11780" width="22" style="109" customWidth="1"/>
    <col min="11781" max="11781" width="22.140625" style="109" customWidth="1"/>
    <col min="11782" max="11782" width="20.42578125" style="109" customWidth="1"/>
    <col min="11783" max="11783" width="10.140625" style="109"/>
    <col min="11784" max="11784" width="25" style="109" customWidth="1"/>
    <col min="11785" max="12032" width="10.140625" style="109"/>
    <col min="12033" max="12033" width="7.42578125" style="109" customWidth="1"/>
    <col min="12034" max="12034" width="52.5703125" style="109" customWidth="1"/>
    <col min="12035" max="12035" width="9.140625" style="109" customWidth="1"/>
    <col min="12036" max="12036" width="22" style="109" customWidth="1"/>
    <col min="12037" max="12037" width="22.140625" style="109" customWidth="1"/>
    <col min="12038" max="12038" width="20.42578125" style="109" customWidth="1"/>
    <col min="12039" max="12039" width="10.140625" style="109"/>
    <col min="12040" max="12040" width="25" style="109" customWidth="1"/>
    <col min="12041" max="12288" width="10.140625" style="109"/>
    <col min="12289" max="12289" width="7.42578125" style="109" customWidth="1"/>
    <col min="12290" max="12290" width="52.5703125" style="109" customWidth="1"/>
    <col min="12291" max="12291" width="9.140625" style="109" customWidth="1"/>
    <col min="12292" max="12292" width="22" style="109" customWidth="1"/>
    <col min="12293" max="12293" width="22.140625" style="109" customWidth="1"/>
    <col min="12294" max="12294" width="20.42578125" style="109" customWidth="1"/>
    <col min="12295" max="12295" width="10.140625" style="109"/>
    <col min="12296" max="12296" width="25" style="109" customWidth="1"/>
    <col min="12297" max="12544" width="10.140625" style="109"/>
    <col min="12545" max="12545" width="7.42578125" style="109" customWidth="1"/>
    <col min="12546" max="12546" width="52.5703125" style="109" customWidth="1"/>
    <col min="12547" max="12547" width="9.140625" style="109" customWidth="1"/>
    <col min="12548" max="12548" width="22" style="109" customWidth="1"/>
    <col min="12549" max="12549" width="22.140625" style="109" customWidth="1"/>
    <col min="12550" max="12550" width="20.42578125" style="109" customWidth="1"/>
    <col min="12551" max="12551" width="10.140625" style="109"/>
    <col min="12552" max="12552" width="25" style="109" customWidth="1"/>
    <col min="12553" max="12800" width="10.140625" style="109"/>
    <col min="12801" max="12801" width="7.42578125" style="109" customWidth="1"/>
    <col min="12802" max="12802" width="52.5703125" style="109" customWidth="1"/>
    <col min="12803" max="12803" width="9.140625" style="109" customWidth="1"/>
    <col min="12804" max="12804" width="22" style="109" customWidth="1"/>
    <col min="12805" max="12805" width="22.140625" style="109" customWidth="1"/>
    <col min="12806" max="12806" width="20.42578125" style="109" customWidth="1"/>
    <col min="12807" max="12807" width="10.140625" style="109"/>
    <col min="12808" max="12808" width="25" style="109" customWidth="1"/>
    <col min="12809" max="13056" width="10.140625" style="109"/>
    <col min="13057" max="13057" width="7.42578125" style="109" customWidth="1"/>
    <col min="13058" max="13058" width="52.5703125" style="109" customWidth="1"/>
    <col min="13059" max="13059" width="9.140625" style="109" customWidth="1"/>
    <col min="13060" max="13060" width="22" style="109" customWidth="1"/>
    <col min="13061" max="13061" width="22.140625" style="109" customWidth="1"/>
    <col min="13062" max="13062" width="20.42578125" style="109" customWidth="1"/>
    <col min="13063" max="13063" width="10.140625" style="109"/>
    <col min="13064" max="13064" width="25" style="109" customWidth="1"/>
    <col min="13065" max="13312" width="10.140625" style="109"/>
    <col min="13313" max="13313" width="7.42578125" style="109" customWidth="1"/>
    <col min="13314" max="13314" width="52.5703125" style="109" customWidth="1"/>
    <col min="13315" max="13315" width="9.140625" style="109" customWidth="1"/>
    <col min="13316" max="13316" width="22" style="109" customWidth="1"/>
    <col min="13317" max="13317" width="22.140625" style="109" customWidth="1"/>
    <col min="13318" max="13318" width="20.42578125" style="109" customWidth="1"/>
    <col min="13319" max="13319" width="10.140625" style="109"/>
    <col min="13320" max="13320" width="25" style="109" customWidth="1"/>
    <col min="13321" max="13568" width="10.140625" style="109"/>
    <col min="13569" max="13569" width="7.42578125" style="109" customWidth="1"/>
    <col min="13570" max="13570" width="52.5703125" style="109" customWidth="1"/>
    <col min="13571" max="13571" width="9.140625" style="109" customWidth="1"/>
    <col min="13572" max="13572" width="22" style="109" customWidth="1"/>
    <col min="13573" max="13573" width="22.140625" style="109" customWidth="1"/>
    <col min="13574" max="13574" width="20.42578125" style="109" customWidth="1"/>
    <col min="13575" max="13575" width="10.140625" style="109"/>
    <col min="13576" max="13576" width="25" style="109" customWidth="1"/>
    <col min="13577" max="13824" width="10.140625" style="109"/>
    <col min="13825" max="13825" width="7.42578125" style="109" customWidth="1"/>
    <col min="13826" max="13826" width="52.5703125" style="109" customWidth="1"/>
    <col min="13827" max="13827" width="9.140625" style="109" customWidth="1"/>
    <col min="13828" max="13828" width="22" style="109" customWidth="1"/>
    <col min="13829" max="13829" width="22.140625" style="109" customWidth="1"/>
    <col min="13830" max="13830" width="20.42578125" style="109" customWidth="1"/>
    <col min="13831" max="13831" width="10.140625" style="109"/>
    <col min="13832" max="13832" width="25" style="109" customWidth="1"/>
    <col min="13833" max="14080" width="10.140625" style="109"/>
    <col min="14081" max="14081" width="7.42578125" style="109" customWidth="1"/>
    <col min="14082" max="14082" width="52.5703125" style="109" customWidth="1"/>
    <col min="14083" max="14083" width="9.140625" style="109" customWidth="1"/>
    <col min="14084" max="14084" width="22" style="109" customWidth="1"/>
    <col min="14085" max="14085" width="22.140625" style="109" customWidth="1"/>
    <col min="14086" max="14086" width="20.42578125" style="109" customWidth="1"/>
    <col min="14087" max="14087" width="10.140625" style="109"/>
    <col min="14088" max="14088" width="25" style="109" customWidth="1"/>
    <col min="14089" max="14336" width="10.140625" style="109"/>
    <col min="14337" max="14337" width="7.42578125" style="109" customWidth="1"/>
    <col min="14338" max="14338" width="52.5703125" style="109" customWidth="1"/>
    <col min="14339" max="14339" width="9.140625" style="109" customWidth="1"/>
    <col min="14340" max="14340" width="22" style="109" customWidth="1"/>
    <col min="14341" max="14341" width="22.140625" style="109" customWidth="1"/>
    <col min="14342" max="14342" width="20.42578125" style="109" customWidth="1"/>
    <col min="14343" max="14343" width="10.140625" style="109"/>
    <col min="14344" max="14344" width="25" style="109" customWidth="1"/>
    <col min="14345" max="14592" width="10.140625" style="109"/>
    <col min="14593" max="14593" width="7.42578125" style="109" customWidth="1"/>
    <col min="14594" max="14594" width="52.5703125" style="109" customWidth="1"/>
    <col min="14595" max="14595" width="9.140625" style="109" customWidth="1"/>
    <col min="14596" max="14596" width="22" style="109" customWidth="1"/>
    <col min="14597" max="14597" width="22.140625" style="109" customWidth="1"/>
    <col min="14598" max="14598" width="20.42578125" style="109" customWidth="1"/>
    <col min="14599" max="14599" width="10.140625" style="109"/>
    <col min="14600" max="14600" width="25" style="109" customWidth="1"/>
    <col min="14601" max="14848" width="10.140625" style="109"/>
    <col min="14849" max="14849" width="7.42578125" style="109" customWidth="1"/>
    <col min="14850" max="14850" width="52.5703125" style="109" customWidth="1"/>
    <col min="14851" max="14851" width="9.140625" style="109" customWidth="1"/>
    <col min="14852" max="14852" width="22" style="109" customWidth="1"/>
    <col min="14853" max="14853" width="22.140625" style="109" customWidth="1"/>
    <col min="14854" max="14854" width="20.42578125" style="109" customWidth="1"/>
    <col min="14855" max="14855" width="10.140625" style="109"/>
    <col min="14856" max="14856" width="25" style="109" customWidth="1"/>
    <col min="14857" max="15104" width="10.140625" style="109"/>
    <col min="15105" max="15105" width="7.42578125" style="109" customWidth="1"/>
    <col min="15106" max="15106" width="52.5703125" style="109" customWidth="1"/>
    <col min="15107" max="15107" width="9.140625" style="109" customWidth="1"/>
    <col min="15108" max="15108" width="22" style="109" customWidth="1"/>
    <col min="15109" max="15109" width="22.140625" style="109" customWidth="1"/>
    <col min="15110" max="15110" width="20.42578125" style="109" customWidth="1"/>
    <col min="15111" max="15111" width="10.140625" style="109"/>
    <col min="15112" max="15112" width="25" style="109" customWidth="1"/>
    <col min="15113" max="15360" width="10.140625" style="109"/>
    <col min="15361" max="15361" width="7.42578125" style="109" customWidth="1"/>
    <col min="15362" max="15362" width="52.5703125" style="109" customWidth="1"/>
    <col min="15363" max="15363" width="9.140625" style="109" customWidth="1"/>
    <col min="15364" max="15364" width="22" style="109" customWidth="1"/>
    <col min="15365" max="15365" width="22.140625" style="109" customWidth="1"/>
    <col min="15366" max="15366" width="20.42578125" style="109" customWidth="1"/>
    <col min="15367" max="15367" width="10.140625" style="109"/>
    <col min="15368" max="15368" width="25" style="109" customWidth="1"/>
    <col min="15369" max="15616" width="10.140625" style="109"/>
    <col min="15617" max="15617" width="7.42578125" style="109" customWidth="1"/>
    <col min="15618" max="15618" width="52.5703125" style="109" customWidth="1"/>
    <col min="15619" max="15619" width="9.140625" style="109" customWidth="1"/>
    <col min="15620" max="15620" width="22" style="109" customWidth="1"/>
    <col min="15621" max="15621" width="22.140625" style="109" customWidth="1"/>
    <col min="15622" max="15622" width="20.42578125" style="109" customWidth="1"/>
    <col min="15623" max="15623" width="10.140625" style="109"/>
    <col min="15624" max="15624" width="25" style="109" customWidth="1"/>
    <col min="15625" max="15872" width="10.140625" style="109"/>
    <col min="15873" max="15873" width="7.42578125" style="109" customWidth="1"/>
    <col min="15874" max="15874" width="52.5703125" style="109" customWidth="1"/>
    <col min="15875" max="15875" width="9.140625" style="109" customWidth="1"/>
    <col min="15876" max="15876" width="22" style="109" customWidth="1"/>
    <col min="15877" max="15877" width="22.140625" style="109" customWidth="1"/>
    <col min="15878" max="15878" width="20.42578125" style="109" customWidth="1"/>
    <col min="15879" max="15879" width="10.140625" style="109"/>
    <col min="15880" max="15880" width="25" style="109" customWidth="1"/>
    <col min="15881" max="16128" width="10.140625" style="109"/>
    <col min="16129" max="16129" width="7.42578125" style="109" customWidth="1"/>
    <col min="16130" max="16130" width="52.5703125" style="109" customWidth="1"/>
    <col min="16131" max="16131" width="9.140625" style="109" customWidth="1"/>
    <col min="16132" max="16132" width="22" style="109" customWidth="1"/>
    <col min="16133" max="16133" width="22.140625" style="109" customWidth="1"/>
    <col min="16134" max="16134" width="20.42578125" style="109" customWidth="1"/>
    <col min="16135" max="16135" width="10.140625" style="109"/>
    <col min="16136" max="16136" width="25" style="109" customWidth="1"/>
    <col min="16137" max="16384" width="10.140625" style="109"/>
  </cols>
  <sheetData>
    <row r="1" spans="1:11" s="137" customFormat="1" ht="24">
      <c r="E1" s="138" t="s">
        <v>133</v>
      </c>
      <c r="F1" s="139" t="s">
        <v>134</v>
      </c>
    </row>
    <row r="2" spans="1:11" s="137" customFormat="1" ht="24">
      <c r="A2" s="140" t="str">
        <f>' ปร.6'!A3</f>
        <v>ชื่อโครง  โครงการปรับปรุงห้องปฏิบัติการเคมี อาคาร sc.04 คณะวิทยาศาสตร์</v>
      </c>
      <c r="B2" s="141"/>
      <c r="C2" s="141"/>
      <c r="D2" s="141"/>
      <c r="E2" s="141"/>
      <c r="F2" s="141"/>
      <c r="G2" s="142"/>
      <c r="H2" s="142"/>
      <c r="I2" s="142"/>
      <c r="J2" s="142"/>
    </row>
    <row r="3" spans="1:11" s="137" customFormat="1" ht="24">
      <c r="A3" s="140" t="s">
        <v>135</v>
      </c>
      <c r="B3" s="141"/>
      <c r="C3" s="141" t="s">
        <v>6</v>
      </c>
      <c r="D3" s="141"/>
      <c r="E3" s="141" t="s">
        <v>45</v>
      </c>
      <c r="F3" s="141"/>
      <c r="G3" s="107"/>
      <c r="H3" s="107"/>
      <c r="I3" s="107"/>
      <c r="J3" s="107"/>
    </row>
    <row r="4" spans="1:11" s="137" customFormat="1" ht="24">
      <c r="A4" s="140" t="s">
        <v>519</v>
      </c>
      <c r="B4" s="141"/>
      <c r="C4" s="141" t="s">
        <v>136</v>
      </c>
      <c r="D4" s="141"/>
      <c r="E4" s="141" t="s">
        <v>137</v>
      </c>
      <c r="F4" s="141"/>
      <c r="G4" s="109"/>
      <c r="H4" s="109"/>
      <c r="I4" s="109"/>
      <c r="J4" s="109"/>
    </row>
    <row r="5" spans="1:11" s="137" customFormat="1" ht="24">
      <c r="A5" s="140" t="s">
        <v>138</v>
      </c>
      <c r="B5" s="141"/>
      <c r="C5" s="141"/>
      <c r="D5" s="141"/>
      <c r="E5" s="141" t="s">
        <v>76</v>
      </c>
      <c r="F5" s="141"/>
      <c r="G5" s="109"/>
      <c r="H5" s="109"/>
      <c r="I5" s="109"/>
      <c r="J5" s="109"/>
    </row>
    <row r="6" spans="1:11" s="149" customFormat="1" ht="23.25" customHeight="1" thickBot="1">
      <c r="A6" s="143"/>
      <c r="B6" s="143"/>
      <c r="C6" s="144"/>
      <c r="D6" s="145"/>
      <c r="E6" s="146"/>
      <c r="F6" s="147"/>
      <c r="G6" s="148"/>
      <c r="H6" s="148"/>
      <c r="I6" s="147"/>
      <c r="J6" s="147"/>
      <c r="K6" s="144"/>
    </row>
    <row r="7" spans="1:11" s="150" customFormat="1" ht="21.95" customHeight="1" thickBot="1">
      <c r="A7" s="656" t="s">
        <v>139</v>
      </c>
      <c r="B7" s="657"/>
      <c r="C7" s="657"/>
      <c r="D7" s="657"/>
      <c r="E7" s="657"/>
      <c r="F7" s="658"/>
    </row>
    <row r="8" spans="1:11" ht="25.5" customHeight="1" thickBot="1"/>
    <row r="9" spans="1:11" s="158" customFormat="1" ht="33" customHeight="1" thickTop="1">
      <c r="A9" s="152" t="s">
        <v>0</v>
      </c>
      <c r="B9" s="153" t="s">
        <v>1</v>
      </c>
      <c r="C9" s="154"/>
      <c r="D9" s="155" t="s">
        <v>140</v>
      </c>
      <c r="E9" s="156" t="s">
        <v>141</v>
      </c>
      <c r="F9" s="157" t="s">
        <v>5</v>
      </c>
    </row>
    <row r="10" spans="1:11" s="107" customFormat="1">
      <c r="A10" s="159"/>
      <c r="B10" s="103" t="s">
        <v>77</v>
      </c>
      <c r="C10" s="104"/>
      <c r="D10" s="160"/>
      <c r="E10" s="161"/>
      <c r="F10" s="162"/>
    </row>
    <row r="11" spans="1:11" s="169" customFormat="1">
      <c r="A11" s="163">
        <v>1</v>
      </c>
      <c r="B11" s="164" t="s">
        <v>78</v>
      </c>
      <c r="C11" s="165"/>
      <c r="D11" s="166"/>
      <c r="E11" s="167"/>
      <c r="F11" s="168"/>
    </row>
    <row r="12" spans="1:11">
      <c r="A12" s="170"/>
      <c r="B12" s="171" t="s">
        <v>142</v>
      </c>
      <c r="C12" s="172"/>
      <c r="D12" s="173"/>
      <c r="E12" s="174">
        <f>'1.1.ST'!J45</f>
        <v>702130</v>
      </c>
      <c r="F12" s="175"/>
    </row>
    <row r="13" spans="1:11">
      <c r="A13" s="170"/>
      <c r="B13" s="171" t="s">
        <v>143</v>
      </c>
      <c r="C13" s="172"/>
      <c r="D13" s="173"/>
      <c r="E13" s="174">
        <f>'1.2 AR'!J164</f>
        <v>11512828.75</v>
      </c>
      <c r="F13" s="176"/>
    </row>
    <row r="14" spans="1:11">
      <c r="A14" s="170"/>
      <c r="B14" s="171" t="s">
        <v>144</v>
      </c>
      <c r="C14" s="172"/>
      <c r="D14" s="173"/>
      <c r="E14" s="174">
        <f>'1.3.EE '!J164</f>
        <v>5452628.0500000007</v>
      </c>
      <c r="F14" s="176"/>
    </row>
    <row r="15" spans="1:11">
      <c r="A15" s="170"/>
      <c r="B15" s="171" t="s">
        <v>145</v>
      </c>
      <c r="C15" s="172"/>
      <c r="D15" s="173"/>
      <c r="E15" s="174">
        <f>'1.4.SN '!J34</f>
        <v>227270</v>
      </c>
      <c r="F15" s="176"/>
    </row>
    <row r="16" spans="1:11" s="183" customFormat="1">
      <c r="A16" s="177"/>
      <c r="B16" s="178" t="s">
        <v>146</v>
      </c>
      <c r="C16" s="179"/>
      <c r="D16" s="180"/>
      <c r="E16" s="181">
        <f>SUBTOTAL(9,E12:E15)</f>
        <v>17894856.800000001</v>
      </c>
      <c r="F16" s="182"/>
    </row>
    <row r="17" spans="1:11" s="169" customFormat="1">
      <c r="A17" s="163">
        <v>2</v>
      </c>
      <c r="B17" s="164" t="s">
        <v>147</v>
      </c>
      <c r="C17" s="165"/>
      <c r="D17" s="166"/>
      <c r="E17" s="167"/>
      <c r="F17" s="168"/>
    </row>
    <row r="18" spans="1:11">
      <c r="A18" s="170"/>
      <c r="B18" s="171" t="s">
        <v>148</v>
      </c>
      <c r="C18" s="172"/>
      <c r="D18" s="173"/>
      <c r="E18" s="174">
        <v>0</v>
      </c>
      <c r="F18" s="175"/>
    </row>
    <row r="19" spans="1:11" s="183" customFormat="1">
      <c r="A19" s="177"/>
      <c r="B19" s="178" t="s">
        <v>149</v>
      </c>
      <c r="C19" s="179"/>
      <c r="D19" s="180"/>
      <c r="E19" s="181">
        <f>SUBTOTAL(9,E18:E18)</f>
        <v>0</v>
      </c>
      <c r="F19" s="182"/>
    </row>
    <row r="20" spans="1:11" s="169" customFormat="1">
      <c r="A20" s="163">
        <v>3</v>
      </c>
      <c r="B20" s="164" t="s">
        <v>150</v>
      </c>
      <c r="C20" s="165"/>
      <c r="D20" s="166"/>
      <c r="E20" s="167"/>
      <c r="F20" s="168"/>
    </row>
    <row r="21" spans="1:11">
      <c r="A21" s="170"/>
      <c r="B21" s="171" t="s">
        <v>242</v>
      </c>
      <c r="C21" s="172"/>
      <c r="D21" s="173"/>
      <c r="E21" s="174"/>
      <c r="F21" s="175"/>
    </row>
    <row r="22" spans="1:11">
      <c r="A22" s="170"/>
      <c r="B22" s="184" t="s">
        <v>151</v>
      </c>
      <c r="C22" s="172"/>
      <c r="D22" s="173"/>
      <c r="E22" s="174"/>
      <c r="F22" s="175"/>
    </row>
    <row r="23" spans="1:11">
      <c r="A23" s="531"/>
      <c r="B23" s="532" t="s">
        <v>243</v>
      </c>
      <c r="C23" s="533"/>
      <c r="D23" s="534"/>
      <c r="E23" s="535"/>
      <c r="F23" s="536"/>
    </row>
    <row r="24" spans="1:11" s="183" customFormat="1" ht="22.5" thickBot="1">
      <c r="A24" s="177"/>
      <c r="B24" s="178" t="s">
        <v>152</v>
      </c>
      <c r="C24" s="179"/>
      <c r="D24" s="180"/>
      <c r="E24" s="181">
        <f>SUBTOTAL(9,E22:E23)</f>
        <v>0</v>
      </c>
      <c r="F24" s="182"/>
    </row>
    <row r="25" spans="1:11" ht="23.25" thickTop="1" thickBot="1">
      <c r="A25" s="185"/>
      <c r="B25" s="186" t="s">
        <v>153</v>
      </c>
      <c r="C25" s="187"/>
      <c r="D25" s="188"/>
      <c r="E25" s="189">
        <f>E16+E19+E24</f>
        <v>17894856.800000001</v>
      </c>
      <c r="F25" s="190"/>
    </row>
    <row r="26" spans="1:11" s="197" customFormat="1" ht="22.5" thickTop="1">
      <c r="A26" s="191"/>
      <c r="B26" s="192" t="s">
        <v>126</v>
      </c>
      <c r="C26" s="193"/>
      <c r="D26" s="194"/>
      <c r="E26" s="195"/>
      <c r="F26" s="196"/>
    </row>
    <row r="27" spans="1:11">
      <c r="A27" s="170"/>
      <c r="B27" s="198" t="s">
        <v>154</v>
      </c>
      <c r="C27" s="199"/>
      <c r="D27" s="200"/>
      <c r="E27" s="174">
        <f>'2.1.EEอุปกรณ์ประกอบอาคาร'!J50</f>
        <v>2728190</v>
      </c>
      <c r="F27" s="201"/>
      <c r="K27" s="109">
        <f>I27-2700000</f>
        <v>-2700000</v>
      </c>
    </row>
    <row r="28" spans="1:11">
      <c r="A28" s="170"/>
      <c r="B28" s="198" t="s">
        <v>524</v>
      </c>
      <c r="C28" s="199"/>
      <c r="D28" s="200"/>
      <c r="E28" s="174">
        <f>'2.2ARงานป้ายสัญลักษณ์'!J29</f>
        <v>372500</v>
      </c>
      <c r="F28" s="201"/>
    </row>
    <row r="29" spans="1:11">
      <c r="A29" s="170"/>
      <c r="B29" s="198" t="s">
        <v>525</v>
      </c>
      <c r="C29" s="199"/>
      <c r="D29" s="200"/>
      <c r="E29" s="174">
        <f>'2.3 งานอุปกรณ์ประกอบสถาปัตยกรรม'!J70</f>
        <v>2343946</v>
      </c>
      <c r="F29" s="201"/>
    </row>
    <row r="30" spans="1:11" s="107" customFormat="1" ht="22.5" thickBot="1">
      <c r="A30" s="202"/>
      <c r="B30" s="203" t="s">
        <v>155</v>
      </c>
      <c r="C30" s="204"/>
      <c r="D30" s="205"/>
      <c r="E30" s="206">
        <f>SUBTOTAL(9,E27:E29)</f>
        <v>5444636</v>
      </c>
      <c r="F30" s="207"/>
    </row>
    <row r="31" spans="1:11" s="107" customFormat="1" ht="22.5" thickTop="1">
      <c r="A31" s="208"/>
      <c r="B31" s="209" t="s">
        <v>156</v>
      </c>
      <c r="C31" s="210"/>
      <c r="D31" s="211"/>
      <c r="E31" s="212"/>
      <c r="F31" s="213"/>
    </row>
    <row r="32" spans="1:11">
      <c r="A32" s="170"/>
      <c r="B32" s="198" t="s">
        <v>157</v>
      </c>
      <c r="C32" s="199"/>
      <c r="D32" s="200"/>
      <c r="E32" s="174">
        <v>0</v>
      </c>
      <c r="F32" s="201"/>
    </row>
    <row r="33" spans="1:10" s="183" customFormat="1">
      <c r="A33" s="177"/>
      <c r="B33" s="178" t="s">
        <v>158</v>
      </c>
      <c r="C33" s="179"/>
      <c r="D33" s="180"/>
      <c r="E33" s="181">
        <f>SUBTOTAL(9,E32)</f>
        <v>0</v>
      </c>
      <c r="F33" s="182"/>
    </row>
    <row r="34" spans="1:10" s="107" customFormat="1">
      <c r="A34" s="159"/>
      <c r="B34" s="103" t="s">
        <v>159</v>
      </c>
      <c r="C34" s="104"/>
      <c r="D34" s="160"/>
      <c r="E34" s="161"/>
      <c r="F34" s="162"/>
    </row>
    <row r="35" spans="1:10">
      <c r="A35" s="214" t="s">
        <v>160</v>
      </c>
      <c r="B35" s="215" t="s">
        <v>161</v>
      </c>
      <c r="C35" s="199"/>
      <c r="D35" s="200"/>
      <c r="E35" s="216">
        <f>E25*B37</f>
        <v>22486677.054880001</v>
      </c>
      <c r="F35" s="201"/>
    </row>
    <row r="36" spans="1:10">
      <c r="A36" s="214"/>
      <c r="B36" s="215" t="s">
        <v>435</v>
      </c>
      <c r="C36" s="199"/>
      <c r="D36" s="200"/>
      <c r="E36" s="174"/>
      <c r="F36" s="201"/>
    </row>
    <row r="37" spans="1:10">
      <c r="A37" s="214"/>
      <c r="B37" s="217">
        <v>1.2565999999999999</v>
      </c>
      <c r="C37" s="199"/>
      <c r="D37" s="200"/>
      <c r="E37" s="218"/>
      <c r="F37" s="201"/>
    </row>
    <row r="38" spans="1:10" s="183" customFormat="1">
      <c r="A38" s="219"/>
      <c r="B38" s="178" t="s">
        <v>162</v>
      </c>
      <c r="C38" s="179"/>
      <c r="D38" s="180"/>
      <c r="E38" s="181">
        <f>SUM(E35:E37)</f>
        <v>22486677.054880001</v>
      </c>
      <c r="F38" s="182"/>
    </row>
    <row r="39" spans="1:10">
      <c r="A39" s="214" t="s">
        <v>163</v>
      </c>
      <c r="B39" s="198" t="s">
        <v>164</v>
      </c>
      <c r="C39" s="199"/>
      <c r="D39" s="200"/>
      <c r="E39" s="174">
        <f>E30*1.07</f>
        <v>5825760.5200000005</v>
      </c>
      <c r="F39" s="201"/>
    </row>
    <row r="40" spans="1:10" s="183" customFormat="1">
      <c r="A40" s="219"/>
      <c r="B40" s="178" t="s">
        <v>165</v>
      </c>
      <c r="C40" s="179"/>
      <c r="D40" s="180"/>
      <c r="E40" s="181">
        <f>SUM(E39)</f>
        <v>5825760.5200000005</v>
      </c>
      <c r="F40" s="182"/>
    </row>
    <row r="41" spans="1:10">
      <c r="A41" s="214" t="s">
        <v>166</v>
      </c>
      <c r="B41" s="198" t="s">
        <v>167</v>
      </c>
      <c r="C41" s="199"/>
      <c r="D41" s="200"/>
      <c r="E41" s="174">
        <v>0</v>
      </c>
      <c r="F41" s="201"/>
    </row>
    <row r="42" spans="1:10" s="107" customFormat="1" ht="22.5" thickBot="1">
      <c r="A42" s="220"/>
      <c r="B42" s="221" t="s">
        <v>168</v>
      </c>
      <c r="C42" s="222"/>
      <c r="D42" s="223"/>
      <c r="E42" s="161">
        <f>SUM(E41)</f>
        <v>0</v>
      </c>
      <c r="F42" s="224"/>
      <c r="H42" s="225"/>
    </row>
    <row r="43" spans="1:10" ht="25.5" thickTop="1" thickBot="1">
      <c r="A43" s="226"/>
      <c r="B43" s="227" t="s">
        <v>169</v>
      </c>
      <c r="C43" s="228"/>
      <c r="D43" s="229"/>
      <c r="E43" s="230">
        <f>E38+E40+E42</f>
        <v>28312437.57488</v>
      </c>
      <c r="F43" s="231"/>
      <c r="I43" s="107">
        <v>27647774</v>
      </c>
      <c r="J43" s="232">
        <f>E43-I43</f>
        <v>664663.5748800002</v>
      </c>
    </row>
    <row r="44" spans="1:10" ht="22.5" thickTop="1">
      <c r="H44" s="232"/>
    </row>
    <row r="45" spans="1:10">
      <c r="D45" s="109" t="s">
        <v>527</v>
      </c>
      <c r="E45" s="151">
        <v>27647774</v>
      </c>
    </row>
    <row r="46" spans="1:10">
      <c r="B46" s="233"/>
      <c r="D46" s="109" t="s">
        <v>528</v>
      </c>
      <c r="E46" s="151">
        <f>E43</f>
        <v>28312437.57488</v>
      </c>
    </row>
    <row r="47" spans="1:10">
      <c r="B47" s="232"/>
      <c r="D47" s="618" t="s">
        <v>529</v>
      </c>
      <c r="E47" s="619">
        <f>E45-E46</f>
        <v>-664663.5748800002</v>
      </c>
    </row>
    <row r="48" spans="1:10">
      <c r="B48" s="232"/>
    </row>
    <row r="49" spans="2:2">
      <c r="B49" s="232"/>
    </row>
    <row r="50" spans="2:2">
      <c r="B50" s="232"/>
    </row>
    <row r="51" spans="2:2">
      <c r="B51" s="232"/>
    </row>
  </sheetData>
  <mergeCells count="1">
    <mergeCell ref="A7:F7"/>
  </mergeCells>
  <phoneticPr fontId="66" type="noConversion"/>
  <printOptions horizontalCentered="1"/>
  <pageMargins left="0.39370078740157483" right="7.874015748031496E-2" top="0.59055118110236227" bottom="3.937007874015748E-2" header="0.51181102362204722" footer="0.27559055118110237"/>
  <pageSetup paperSize="9" scale="82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indexed="48"/>
  </sheetPr>
  <dimension ref="A1:Y45"/>
  <sheetViews>
    <sheetView view="pageBreakPreview" zoomScale="110" zoomScaleNormal="80" zoomScaleSheetLayoutView="110" workbookViewId="0">
      <pane ySplit="8" topLeftCell="A24" activePane="bottomLeft" state="frozen"/>
      <selection activeCell="F45" sqref="F45"/>
      <selection pane="bottomLeft" activeCell="A30" sqref="A30:K30"/>
    </sheetView>
  </sheetViews>
  <sheetFormatPr defaultColWidth="10.140625" defaultRowHeight="21.75"/>
  <cols>
    <col min="1" max="1" width="6.140625" style="330" customWidth="1"/>
    <col min="2" max="2" width="6.140625" style="331" customWidth="1"/>
    <col min="3" max="3" width="55.7109375" style="331" customWidth="1"/>
    <col min="4" max="4" width="10.7109375" style="332" customWidth="1"/>
    <col min="5" max="5" width="8.7109375" style="330" customWidth="1"/>
    <col min="6" max="9" width="15.7109375" style="333" customWidth="1"/>
    <col min="10" max="10" width="18.7109375" style="333" customWidth="1"/>
    <col min="11" max="11" width="15.7109375" style="333" customWidth="1"/>
    <col min="12" max="12" width="11.140625" style="333" customWidth="1"/>
    <col min="13" max="13" width="17.85546875" style="333" customWidth="1"/>
    <col min="14" max="14" width="7.42578125" style="333" customWidth="1"/>
    <col min="15" max="15" width="14.140625" style="334" customWidth="1"/>
    <col min="16" max="16" width="14" style="334" customWidth="1"/>
    <col min="17" max="17" width="20.140625" style="333" customWidth="1"/>
    <col min="18" max="18" width="16.42578125" style="330" customWidth="1"/>
    <col min="19" max="21" width="10.140625" style="330"/>
    <col min="22" max="24" width="10.42578125" style="333" bestFit="1" customWidth="1"/>
    <col min="25" max="25" width="10.140625" style="333" bestFit="1" customWidth="1"/>
    <col min="26" max="256" width="10.140625" style="330"/>
    <col min="257" max="257" width="6.5703125" style="330" customWidth="1"/>
    <col min="258" max="258" width="3.42578125" style="330" customWidth="1"/>
    <col min="259" max="259" width="70.5703125" style="330" customWidth="1"/>
    <col min="260" max="260" width="10.42578125" style="330" customWidth="1"/>
    <col min="261" max="261" width="7.42578125" style="330" customWidth="1"/>
    <col min="262" max="262" width="15.140625" style="330" customWidth="1"/>
    <col min="263" max="263" width="15.42578125" style="330" customWidth="1"/>
    <col min="264" max="264" width="15.5703125" style="330" customWidth="1"/>
    <col min="265" max="265" width="15.140625" style="330" customWidth="1"/>
    <col min="266" max="266" width="14.85546875" style="330" customWidth="1"/>
    <col min="267" max="267" width="12.5703125" style="330" customWidth="1"/>
    <col min="268" max="268" width="11.140625" style="330" customWidth="1"/>
    <col min="269" max="269" width="17.85546875" style="330" customWidth="1"/>
    <col min="270" max="270" width="7.42578125" style="330" customWidth="1"/>
    <col min="271" max="271" width="14.140625" style="330" customWidth="1"/>
    <col min="272" max="272" width="14" style="330" customWidth="1"/>
    <col min="273" max="273" width="20.140625" style="330" customWidth="1"/>
    <col min="274" max="274" width="16.42578125" style="330" customWidth="1"/>
    <col min="275" max="277" width="10.140625" style="330"/>
    <col min="278" max="280" width="10.42578125" style="330" bestFit="1" customWidth="1"/>
    <col min="281" max="281" width="10.140625" style="330" bestFit="1" customWidth="1"/>
    <col min="282" max="512" width="10.140625" style="330"/>
    <col min="513" max="513" width="6.5703125" style="330" customWidth="1"/>
    <col min="514" max="514" width="3.42578125" style="330" customWidth="1"/>
    <col min="515" max="515" width="70.5703125" style="330" customWidth="1"/>
    <col min="516" max="516" width="10.42578125" style="330" customWidth="1"/>
    <col min="517" max="517" width="7.42578125" style="330" customWidth="1"/>
    <col min="518" max="518" width="15.140625" style="330" customWidth="1"/>
    <col min="519" max="519" width="15.42578125" style="330" customWidth="1"/>
    <col min="520" max="520" width="15.5703125" style="330" customWidth="1"/>
    <col min="521" max="521" width="15.140625" style="330" customWidth="1"/>
    <col min="522" max="522" width="14.85546875" style="330" customWidth="1"/>
    <col min="523" max="523" width="12.5703125" style="330" customWidth="1"/>
    <col min="524" max="524" width="11.140625" style="330" customWidth="1"/>
    <col min="525" max="525" width="17.85546875" style="330" customWidth="1"/>
    <col min="526" max="526" width="7.42578125" style="330" customWidth="1"/>
    <col min="527" max="527" width="14.140625" style="330" customWidth="1"/>
    <col min="528" max="528" width="14" style="330" customWidth="1"/>
    <col min="529" max="529" width="20.140625" style="330" customWidth="1"/>
    <col min="530" max="530" width="16.42578125" style="330" customWidth="1"/>
    <col min="531" max="533" width="10.140625" style="330"/>
    <col min="534" max="536" width="10.42578125" style="330" bestFit="1" customWidth="1"/>
    <col min="537" max="537" width="10.140625" style="330" bestFit="1" customWidth="1"/>
    <col min="538" max="768" width="10.140625" style="330"/>
    <col min="769" max="769" width="6.5703125" style="330" customWidth="1"/>
    <col min="770" max="770" width="3.42578125" style="330" customWidth="1"/>
    <col min="771" max="771" width="70.5703125" style="330" customWidth="1"/>
    <col min="772" max="772" width="10.42578125" style="330" customWidth="1"/>
    <col min="773" max="773" width="7.42578125" style="330" customWidth="1"/>
    <col min="774" max="774" width="15.140625" style="330" customWidth="1"/>
    <col min="775" max="775" width="15.42578125" style="330" customWidth="1"/>
    <col min="776" max="776" width="15.5703125" style="330" customWidth="1"/>
    <col min="777" max="777" width="15.140625" style="330" customWidth="1"/>
    <col min="778" max="778" width="14.85546875" style="330" customWidth="1"/>
    <col min="779" max="779" width="12.5703125" style="330" customWidth="1"/>
    <col min="780" max="780" width="11.140625" style="330" customWidth="1"/>
    <col min="781" max="781" width="17.85546875" style="330" customWidth="1"/>
    <col min="782" max="782" width="7.42578125" style="330" customWidth="1"/>
    <col min="783" max="783" width="14.140625" style="330" customWidth="1"/>
    <col min="784" max="784" width="14" style="330" customWidth="1"/>
    <col min="785" max="785" width="20.140625" style="330" customWidth="1"/>
    <col min="786" max="786" width="16.42578125" style="330" customWidth="1"/>
    <col min="787" max="789" width="10.140625" style="330"/>
    <col min="790" max="792" width="10.42578125" style="330" bestFit="1" customWidth="1"/>
    <col min="793" max="793" width="10.140625" style="330" bestFit="1" customWidth="1"/>
    <col min="794" max="1024" width="10.140625" style="330"/>
    <col min="1025" max="1025" width="6.5703125" style="330" customWidth="1"/>
    <col min="1026" max="1026" width="3.42578125" style="330" customWidth="1"/>
    <col min="1027" max="1027" width="70.5703125" style="330" customWidth="1"/>
    <col min="1028" max="1028" width="10.42578125" style="330" customWidth="1"/>
    <col min="1029" max="1029" width="7.42578125" style="330" customWidth="1"/>
    <col min="1030" max="1030" width="15.140625" style="330" customWidth="1"/>
    <col min="1031" max="1031" width="15.42578125" style="330" customWidth="1"/>
    <col min="1032" max="1032" width="15.5703125" style="330" customWidth="1"/>
    <col min="1033" max="1033" width="15.140625" style="330" customWidth="1"/>
    <col min="1034" max="1034" width="14.85546875" style="330" customWidth="1"/>
    <col min="1035" max="1035" width="12.5703125" style="330" customWidth="1"/>
    <col min="1036" max="1036" width="11.140625" style="330" customWidth="1"/>
    <col min="1037" max="1037" width="17.85546875" style="330" customWidth="1"/>
    <col min="1038" max="1038" width="7.42578125" style="330" customWidth="1"/>
    <col min="1039" max="1039" width="14.140625" style="330" customWidth="1"/>
    <col min="1040" max="1040" width="14" style="330" customWidth="1"/>
    <col min="1041" max="1041" width="20.140625" style="330" customWidth="1"/>
    <col min="1042" max="1042" width="16.42578125" style="330" customWidth="1"/>
    <col min="1043" max="1045" width="10.140625" style="330"/>
    <col min="1046" max="1048" width="10.42578125" style="330" bestFit="1" customWidth="1"/>
    <col min="1049" max="1049" width="10.140625" style="330" bestFit="1" customWidth="1"/>
    <col min="1050" max="1280" width="10.140625" style="330"/>
    <col min="1281" max="1281" width="6.5703125" style="330" customWidth="1"/>
    <col min="1282" max="1282" width="3.42578125" style="330" customWidth="1"/>
    <col min="1283" max="1283" width="70.5703125" style="330" customWidth="1"/>
    <col min="1284" max="1284" width="10.42578125" style="330" customWidth="1"/>
    <col min="1285" max="1285" width="7.42578125" style="330" customWidth="1"/>
    <col min="1286" max="1286" width="15.140625" style="330" customWidth="1"/>
    <col min="1287" max="1287" width="15.42578125" style="330" customWidth="1"/>
    <col min="1288" max="1288" width="15.5703125" style="330" customWidth="1"/>
    <col min="1289" max="1289" width="15.140625" style="330" customWidth="1"/>
    <col min="1290" max="1290" width="14.85546875" style="330" customWidth="1"/>
    <col min="1291" max="1291" width="12.5703125" style="330" customWidth="1"/>
    <col min="1292" max="1292" width="11.140625" style="330" customWidth="1"/>
    <col min="1293" max="1293" width="17.85546875" style="330" customWidth="1"/>
    <col min="1294" max="1294" width="7.42578125" style="330" customWidth="1"/>
    <col min="1295" max="1295" width="14.140625" style="330" customWidth="1"/>
    <col min="1296" max="1296" width="14" style="330" customWidth="1"/>
    <col min="1297" max="1297" width="20.140625" style="330" customWidth="1"/>
    <col min="1298" max="1298" width="16.42578125" style="330" customWidth="1"/>
    <col min="1299" max="1301" width="10.140625" style="330"/>
    <col min="1302" max="1304" width="10.42578125" style="330" bestFit="1" customWidth="1"/>
    <col min="1305" max="1305" width="10.140625" style="330" bestFit="1" customWidth="1"/>
    <col min="1306" max="1536" width="10.140625" style="330"/>
    <col min="1537" max="1537" width="6.5703125" style="330" customWidth="1"/>
    <col min="1538" max="1538" width="3.42578125" style="330" customWidth="1"/>
    <col min="1539" max="1539" width="70.5703125" style="330" customWidth="1"/>
    <col min="1540" max="1540" width="10.42578125" style="330" customWidth="1"/>
    <col min="1541" max="1541" width="7.42578125" style="330" customWidth="1"/>
    <col min="1542" max="1542" width="15.140625" style="330" customWidth="1"/>
    <col min="1543" max="1543" width="15.42578125" style="330" customWidth="1"/>
    <col min="1544" max="1544" width="15.5703125" style="330" customWidth="1"/>
    <col min="1545" max="1545" width="15.140625" style="330" customWidth="1"/>
    <col min="1546" max="1546" width="14.85546875" style="330" customWidth="1"/>
    <col min="1547" max="1547" width="12.5703125" style="330" customWidth="1"/>
    <col min="1548" max="1548" width="11.140625" style="330" customWidth="1"/>
    <col min="1549" max="1549" width="17.85546875" style="330" customWidth="1"/>
    <col min="1550" max="1550" width="7.42578125" style="330" customWidth="1"/>
    <col min="1551" max="1551" width="14.140625" style="330" customWidth="1"/>
    <col min="1552" max="1552" width="14" style="330" customWidth="1"/>
    <col min="1553" max="1553" width="20.140625" style="330" customWidth="1"/>
    <col min="1554" max="1554" width="16.42578125" style="330" customWidth="1"/>
    <col min="1555" max="1557" width="10.140625" style="330"/>
    <col min="1558" max="1560" width="10.42578125" style="330" bestFit="1" customWidth="1"/>
    <col min="1561" max="1561" width="10.140625" style="330" bestFit="1" customWidth="1"/>
    <col min="1562" max="1792" width="10.140625" style="330"/>
    <col min="1793" max="1793" width="6.5703125" style="330" customWidth="1"/>
    <col min="1794" max="1794" width="3.42578125" style="330" customWidth="1"/>
    <col min="1795" max="1795" width="70.5703125" style="330" customWidth="1"/>
    <col min="1796" max="1796" width="10.42578125" style="330" customWidth="1"/>
    <col min="1797" max="1797" width="7.42578125" style="330" customWidth="1"/>
    <col min="1798" max="1798" width="15.140625" style="330" customWidth="1"/>
    <col min="1799" max="1799" width="15.42578125" style="330" customWidth="1"/>
    <col min="1800" max="1800" width="15.5703125" style="330" customWidth="1"/>
    <col min="1801" max="1801" width="15.140625" style="330" customWidth="1"/>
    <col min="1802" max="1802" width="14.85546875" style="330" customWidth="1"/>
    <col min="1803" max="1803" width="12.5703125" style="330" customWidth="1"/>
    <col min="1804" max="1804" width="11.140625" style="330" customWidth="1"/>
    <col min="1805" max="1805" width="17.85546875" style="330" customWidth="1"/>
    <col min="1806" max="1806" width="7.42578125" style="330" customWidth="1"/>
    <col min="1807" max="1807" width="14.140625" style="330" customWidth="1"/>
    <col min="1808" max="1808" width="14" style="330" customWidth="1"/>
    <col min="1809" max="1809" width="20.140625" style="330" customWidth="1"/>
    <col min="1810" max="1810" width="16.42578125" style="330" customWidth="1"/>
    <col min="1811" max="1813" width="10.140625" style="330"/>
    <col min="1814" max="1816" width="10.42578125" style="330" bestFit="1" customWidth="1"/>
    <col min="1817" max="1817" width="10.140625" style="330" bestFit="1" customWidth="1"/>
    <col min="1818" max="2048" width="10.140625" style="330"/>
    <col min="2049" max="2049" width="6.5703125" style="330" customWidth="1"/>
    <col min="2050" max="2050" width="3.42578125" style="330" customWidth="1"/>
    <col min="2051" max="2051" width="70.5703125" style="330" customWidth="1"/>
    <col min="2052" max="2052" width="10.42578125" style="330" customWidth="1"/>
    <col min="2053" max="2053" width="7.42578125" style="330" customWidth="1"/>
    <col min="2054" max="2054" width="15.140625" style="330" customWidth="1"/>
    <col min="2055" max="2055" width="15.42578125" style="330" customWidth="1"/>
    <col min="2056" max="2056" width="15.5703125" style="330" customWidth="1"/>
    <col min="2057" max="2057" width="15.140625" style="330" customWidth="1"/>
    <col min="2058" max="2058" width="14.85546875" style="330" customWidth="1"/>
    <col min="2059" max="2059" width="12.5703125" style="330" customWidth="1"/>
    <col min="2060" max="2060" width="11.140625" style="330" customWidth="1"/>
    <col min="2061" max="2061" width="17.85546875" style="330" customWidth="1"/>
    <col min="2062" max="2062" width="7.42578125" style="330" customWidth="1"/>
    <col min="2063" max="2063" width="14.140625" style="330" customWidth="1"/>
    <col min="2064" max="2064" width="14" style="330" customWidth="1"/>
    <col min="2065" max="2065" width="20.140625" style="330" customWidth="1"/>
    <col min="2066" max="2066" width="16.42578125" style="330" customWidth="1"/>
    <col min="2067" max="2069" width="10.140625" style="330"/>
    <col min="2070" max="2072" width="10.42578125" style="330" bestFit="1" customWidth="1"/>
    <col min="2073" max="2073" width="10.140625" style="330" bestFit="1" customWidth="1"/>
    <col min="2074" max="2304" width="10.140625" style="330"/>
    <col min="2305" max="2305" width="6.5703125" style="330" customWidth="1"/>
    <col min="2306" max="2306" width="3.42578125" style="330" customWidth="1"/>
    <col min="2307" max="2307" width="70.5703125" style="330" customWidth="1"/>
    <col min="2308" max="2308" width="10.42578125" style="330" customWidth="1"/>
    <col min="2309" max="2309" width="7.42578125" style="330" customWidth="1"/>
    <col min="2310" max="2310" width="15.140625" style="330" customWidth="1"/>
    <col min="2311" max="2311" width="15.42578125" style="330" customWidth="1"/>
    <col min="2312" max="2312" width="15.5703125" style="330" customWidth="1"/>
    <col min="2313" max="2313" width="15.140625" style="330" customWidth="1"/>
    <col min="2314" max="2314" width="14.85546875" style="330" customWidth="1"/>
    <col min="2315" max="2315" width="12.5703125" style="330" customWidth="1"/>
    <col min="2316" max="2316" width="11.140625" style="330" customWidth="1"/>
    <col min="2317" max="2317" width="17.85546875" style="330" customWidth="1"/>
    <col min="2318" max="2318" width="7.42578125" style="330" customWidth="1"/>
    <col min="2319" max="2319" width="14.140625" style="330" customWidth="1"/>
    <col min="2320" max="2320" width="14" style="330" customWidth="1"/>
    <col min="2321" max="2321" width="20.140625" style="330" customWidth="1"/>
    <col min="2322" max="2322" width="16.42578125" style="330" customWidth="1"/>
    <col min="2323" max="2325" width="10.140625" style="330"/>
    <col min="2326" max="2328" width="10.42578125" style="330" bestFit="1" customWidth="1"/>
    <col min="2329" max="2329" width="10.140625" style="330" bestFit="1" customWidth="1"/>
    <col min="2330" max="2560" width="10.140625" style="330"/>
    <col min="2561" max="2561" width="6.5703125" style="330" customWidth="1"/>
    <col min="2562" max="2562" width="3.42578125" style="330" customWidth="1"/>
    <col min="2563" max="2563" width="70.5703125" style="330" customWidth="1"/>
    <col min="2564" max="2564" width="10.42578125" style="330" customWidth="1"/>
    <col min="2565" max="2565" width="7.42578125" style="330" customWidth="1"/>
    <col min="2566" max="2566" width="15.140625" style="330" customWidth="1"/>
    <col min="2567" max="2567" width="15.42578125" style="330" customWidth="1"/>
    <col min="2568" max="2568" width="15.5703125" style="330" customWidth="1"/>
    <col min="2569" max="2569" width="15.140625" style="330" customWidth="1"/>
    <col min="2570" max="2570" width="14.85546875" style="330" customWidth="1"/>
    <col min="2571" max="2571" width="12.5703125" style="330" customWidth="1"/>
    <col min="2572" max="2572" width="11.140625" style="330" customWidth="1"/>
    <col min="2573" max="2573" width="17.85546875" style="330" customWidth="1"/>
    <col min="2574" max="2574" width="7.42578125" style="330" customWidth="1"/>
    <col min="2575" max="2575" width="14.140625" style="330" customWidth="1"/>
    <col min="2576" max="2576" width="14" style="330" customWidth="1"/>
    <col min="2577" max="2577" width="20.140625" style="330" customWidth="1"/>
    <col min="2578" max="2578" width="16.42578125" style="330" customWidth="1"/>
    <col min="2579" max="2581" width="10.140625" style="330"/>
    <col min="2582" max="2584" width="10.42578125" style="330" bestFit="1" customWidth="1"/>
    <col min="2585" max="2585" width="10.140625" style="330" bestFit="1" customWidth="1"/>
    <col min="2586" max="2816" width="10.140625" style="330"/>
    <col min="2817" max="2817" width="6.5703125" style="330" customWidth="1"/>
    <col min="2818" max="2818" width="3.42578125" style="330" customWidth="1"/>
    <col min="2819" max="2819" width="70.5703125" style="330" customWidth="1"/>
    <col min="2820" max="2820" width="10.42578125" style="330" customWidth="1"/>
    <col min="2821" max="2821" width="7.42578125" style="330" customWidth="1"/>
    <col min="2822" max="2822" width="15.140625" style="330" customWidth="1"/>
    <col min="2823" max="2823" width="15.42578125" style="330" customWidth="1"/>
    <col min="2824" max="2824" width="15.5703125" style="330" customWidth="1"/>
    <col min="2825" max="2825" width="15.140625" style="330" customWidth="1"/>
    <col min="2826" max="2826" width="14.85546875" style="330" customWidth="1"/>
    <col min="2827" max="2827" width="12.5703125" style="330" customWidth="1"/>
    <col min="2828" max="2828" width="11.140625" style="330" customWidth="1"/>
    <col min="2829" max="2829" width="17.85546875" style="330" customWidth="1"/>
    <col min="2830" max="2830" width="7.42578125" style="330" customWidth="1"/>
    <col min="2831" max="2831" width="14.140625" style="330" customWidth="1"/>
    <col min="2832" max="2832" width="14" style="330" customWidth="1"/>
    <col min="2833" max="2833" width="20.140625" style="330" customWidth="1"/>
    <col min="2834" max="2834" width="16.42578125" style="330" customWidth="1"/>
    <col min="2835" max="2837" width="10.140625" style="330"/>
    <col min="2838" max="2840" width="10.42578125" style="330" bestFit="1" customWidth="1"/>
    <col min="2841" max="2841" width="10.140625" style="330" bestFit="1" customWidth="1"/>
    <col min="2842" max="3072" width="10.140625" style="330"/>
    <col min="3073" max="3073" width="6.5703125" style="330" customWidth="1"/>
    <col min="3074" max="3074" width="3.42578125" style="330" customWidth="1"/>
    <col min="3075" max="3075" width="70.5703125" style="330" customWidth="1"/>
    <col min="3076" max="3076" width="10.42578125" style="330" customWidth="1"/>
    <col min="3077" max="3077" width="7.42578125" style="330" customWidth="1"/>
    <col min="3078" max="3078" width="15.140625" style="330" customWidth="1"/>
    <col min="3079" max="3079" width="15.42578125" style="330" customWidth="1"/>
    <col min="3080" max="3080" width="15.5703125" style="330" customWidth="1"/>
    <col min="3081" max="3081" width="15.140625" style="330" customWidth="1"/>
    <col min="3082" max="3082" width="14.85546875" style="330" customWidth="1"/>
    <col min="3083" max="3083" width="12.5703125" style="330" customWidth="1"/>
    <col min="3084" max="3084" width="11.140625" style="330" customWidth="1"/>
    <col min="3085" max="3085" width="17.85546875" style="330" customWidth="1"/>
    <col min="3086" max="3086" width="7.42578125" style="330" customWidth="1"/>
    <col min="3087" max="3087" width="14.140625" style="330" customWidth="1"/>
    <col min="3088" max="3088" width="14" style="330" customWidth="1"/>
    <col min="3089" max="3089" width="20.140625" style="330" customWidth="1"/>
    <col min="3090" max="3090" width="16.42578125" style="330" customWidth="1"/>
    <col min="3091" max="3093" width="10.140625" style="330"/>
    <col min="3094" max="3096" width="10.42578125" style="330" bestFit="1" customWidth="1"/>
    <col min="3097" max="3097" width="10.140625" style="330" bestFit="1" customWidth="1"/>
    <col min="3098" max="3328" width="10.140625" style="330"/>
    <col min="3329" max="3329" width="6.5703125" style="330" customWidth="1"/>
    <col min="3330" max="3330" width="3.42578125" style="330" customWidth="1"/>
    <col min="3331" max="3331" width="70.5703125" style="330" customWidth="1"/>
    <col min="3332" max="3332" width="10.42578125" style="330" customWidth="1"/>
    <col min="3333" max="3333" width="7.42578125" style="330" customWidth="1"/>
    <col min="3334" max="3334" width="15.140625" style="330" customWidth="1"/>
    <col min="3335" max="3335" width="15.42578125" style="330" customWidth="1"/>
    <col min="3336" max="3336" width="15.5703125" style="330" customWidth="1"/>
    <col min="3337" max="3337" width="15.140625" style="330" customWidth="1"/>
    <col min="3338" max="3338" width="14.85546875" style="330" customWidth="1"/>
    <col min="3339" max="3339" width="12.5703125" style="330" customWidth="1"/>
    <col min="3340" max="3340" width="11.140625" style="330" customWidth="1"/>
    <col min="3341" max="3341" width="17.85546875" style="330" customWidth="1"/>
    <col min="3342" max="3342" width="7.42578125" style="330" customWidth="1"/>
    <col min="3343" max="3343" width="14.140625" style="330" customWidth="1"/>
    <col min="3344" max="3344" width="14" style="330" customWidth="1"/>
    <col min="3345" max="3345" width="20.140625" style="330" customWidth="1"/>
    <col min="3346" max="3346" width="16.42578125" style="330" customWidth="1"/>
    <col min="3347" max="3349" width="10.140625" style="330"/>
    <col min="3350" max="3352" width="10.42578125" style="330" bestFit="1" customWidth="1"/>
    <col min="3353" max="3353" width="10.140625" style="330" bestFit="1" customWidth="1"/>
    <col min="3354" max="3584" width="10.140625" style="330"/>
    <col min="3585" max="3585" width="6.5703125" style="330" customWidth="1"/>
    <col min="3586" max="3586" width="3.42578125" style="330" customWidth="1"/>
    <col min="3587" max="3587" width="70.5703125" style="330" customWidth="1"/>
    <col min="3588" max="3588" width="10.42578125" style="330" customWidth="1"/>
    <col min="3589" max="3589" width="7.42578125" style="330" customWidth="1"/>
    <col min="3590" max="3590" width="15.140625" style="330" customWidth="1"/>
    <col min="3591" max="3591" width="15.42578125" style="330" customWidth="1"/>
    <col min="3592" max="3592" width="15.5703125" style="330" customWidth="1"/>
    <col min="3593" max="3593" width="15.140625" style="330" customWidth="1"/>
    <col min="3594" max="3594" width="14.85546875" style="330" customWidth="1"/>
    <col min="3595" max="3595" width="12.5703125" style="330" customWidth="1"/>
    <col min="3596" max="3596" width="11.140625" style="330" customWidth="1"/>
    <col min="3597" max="3597" width="17.85546875" style="330" customWidth="1"/>
    <col min="3598" max="3598" width="7.42578125" style="330" customWidth="1"/>
    <col min="3599" max="3599" width="14.140625" style="330" customWidth="1"/>
    <col min="3600" max="3600" width="14" style="330" customWidth="1"/>
    <col min="3601" max="3601" width="20.140625" style="330" customWidth="1"/>
    <col min="3602" max="3602" width="16.42578125" style="330" customWidth="1"/>
    <col min="3603" max="3605" width="10.140625" style="330"/>
    <col min="3606" max="3608" width="10.42578125" style="330" bestFit="1" customWidth="1"/>
    <col min="3609" max="3609" width="10.140625" style="330" bestFit="1" customWidth="1"/>
    <col min="3610" max="3840" width="10.140625" style="330"/>
    <col min="3841" max="3841" width="6.5703125" style="330" customWidth="1"/>
    <col min="3842" max="3842" width="3.42578125" style="330" customWidth="1"/>
    <col min="3843" max="3843" width="70.5703125" style="330" customWidth="1"/>
    <col min="3844" max="3844" width="10.42578125" style="330" customWidth="1"/>
    <col min="3845" max="3845" width="7.42578125" style="330" customWidth="1"/>
    <col min="3846" max="3846" width="15.140625" style="330" customWidth="1"/>
    <col min="3847" max="3847" width="15.42578125" style="330" customWidth="1"/>
    <col min="3848" max="3848" width="15.5703125" style="330" customWidth="1"/>
    <col min="3849" max="3849" width="15.140625" style="330" customWidth="1"/>
    <col min="3850" max="3850" width="14.85546875" style="330" customWidth="1"/>
    <col min="3851" max="3851" width="12.5703125" style="330" customWidth="1"/>
    <col min="3852" max="3852" width="11.140625" style="330" customWidth="1"/>
    <col min="3853" max="3853" width="17.85546875" style="330" customWidth="1"/>
    <col min="3854" max="3854" width="7.42578125" style="330" customWidth="1"/>
    <col min="3855" max="3855" width="14.140625" style="330" customWidth="1"/>
    <col min="3856" max="3856" width="14" style="330" customWidth="1"/>
    <col min="3857" max="3857" width="20.140625" style="330" customWidth="1"/>
    <col min="3858" max="3858" width="16.42578125" style="330" customWidth="1"/>
    <col min="3859" max="3861" width="10.140625" style="330"/>
    <col min="3862" max="3864" width="10.42578125" style="330" bestFit="1" customWidth="1"/>
    <col min="3865" max="3865" width="10.140625" style="330" bestFit="1" customWidth="1"/>
    <col min="3866" max="4096" width="10.140625" style="330"/>
    <col min="4097" max="4097" width="6.5703125" style="330" customWidth="1"/>
    <col min="4098" max="4098" width="3.42578125" style="330" customWidth="1"/>
    <col min="4099" max="4099" width="70.5703125" style="330" customWidth="1"/>
    <col min="4100" max="4100" width="10.42578125" style="330" customWidth="1"/>
    <col min="4101" max="4101" width="7.42578125" style="330" customWidth="1"/>
    <col min="4102" max="4102" width="15.140625" style="330" customWidth="1"/>
    <col min="4103" max="4103" width="15.42578125" style="330" customWidth="1"/>
    <col min="4104" max="4104" width="15.5703125" style="330" customWidth="1"/>
    <col min="4105" max="4105" width="15.140625" style="330" customWidth="1"/>
    <col min="4106" max="4106" width="14.85546875" style="330" customWidth="1"/>
    <col min="4107" max="4107" width="12.5703125" style="330" customWidth="1"/>
    <col min="4108" max="4108" width="11.140625" style="330" customWidth="1"/>
    <col min="4109" max="4109" width="17.85546875" style="330" customWidth="1"/>
    <col min="4110" max="4110" width="7.42578125" style="330" customWidth="1"/>
    <col min="4111" max="4111" width="14.140625" style="330" customWidth="1"/>
    <col min="4112" max="4112" width="14" style="330" customWidth="1"/>
    <col min="4113" max="4113" width="20.140625" style="330" customWidth="1"/>
    <col min="4114" max="4114" width="16.42578125" style="330" customWidth="1"/>
    <col min="4115" max="4117" width="10.140625" style="330"/>
    <col min="4118" max="4120" width="10.42578125" style="330" bestFit="1" customWidth="1"/>
    <col min="4121" max="4121" width="10.140625" style="330" bestFit="1" customWidth="1"/>
    <col min="4122" max="4352" width="10.140625" style="330"/>
    <col min="4353" max="4353" width="6.5703125" style="330" customWidth="1"/>
    <col min="4354" max="4354" width="3.42578125" style="330" customWidth="1"/>
    <col min="4355" max="4355" width="70.5703125" style="330" customWidth="1"/>
    <col min="4356" max="4356" width="10.42578125" style="330" customWidth="1"/>
    <col min="4357" max="4357" width="7.42578125" style="330" customWidth="1"/>
    <col min="4358" max="4358" width="15.140625" style="330" customWidth="1"/>
    <col min="4359" max="4359" width="15.42578125" style="330" customWidth="1"/>
    <col min="4360" max="4360" width="15.5703125" style="330" customWidth="1"/>
    <col min="4361" max="4361" width="15.140625" style="330" customWidth="1"/>
    <col min="4362" max="4362" width="14.85546875" style="330" customWidth="1"/>
    <col min="4363" max="4363" width="12.5703125" style="330" customWidth="1"/>
    <col min="4364" max="4364" width="11.140625" style="330" customWidth="1"/>
    <col min="4365" max="4365" width="17.85546875" style="330" customWidth="1"/>
    <col min="4366" max="4366" width="7.42578125" style="330" customWidth="1"/>
    <col min="4367" max="4367" width="14.140625" style="330" customWidth="1"/>
    <col min="4368" max="4368" width="14" style="330" customWidth="1"/>
    <col min="4369" max="4369" width="20.140625" style="330" customWidth="1"/>
    <col min="4370" max="4370" width="16.42578125" style="330" customWidth="1"/>
    <col min="4371" max="4373" width="10.140625" style="330"/>
    <col min="4374" max="4376" width="10.42578125" style="330" bestFit="1" customWidth="1"/>
    <col min="4377" max="4377" width="10.140625" style="330" bestFit="1" customWidth="1"/>
    <col min="4378" max="4608" width="10.140625" style="330"/>
    <col min="4609" max="4609" width="6.5703125" style="330" customWidth="1"/>
    <col min="4610" max="4610" width="3.42578125" style="330" customWidth="1"/>
    <col min="4611" max="4611" width="70.5703125" style="330" customWidth="1"/>
    <col min="4612" max="4612" width="10.42578125" style="330" customWidth="1"/>
    <col min="4613" max="4613" width="7.42578125" style="330" customWidth="1"/>
    <col min="4614" max="4614" width="15.140625" style="330" customWidth="1"/>
    <col min="4615" max="4615" width="15.42578125" style="330" customWidth="1"/>
    <col min="4616" max="4616" width="15.5703125" style="330" customWidth="1"/>
    <col min="4617" max="4617" width="15.140625" style="330" customWidth="1"/>
    <col min="4618" max="4618" width="14.85546875" style="330" customWidth="1"/>
    <col min="4619" max="4619" width="12.5703125" style="330" customWidth="1"/>
    <col min="4620" max="4620" width="11.140625" style="330" customWidth="1"/>
    <col min="4621" max="4621" width="17.85546875" style="330" customWidth="1"/>
    <col min="4622" max="4622" width="7.42578125" style="330" customWidth="1"/>
    <col min="4623" max="4623" width="14.140625" style="330" customWidth="1"/>
    <col min="4624" max="4624" width="14" style="330" customWidth="1"/>
    <col min="4625" max="4625" width="20.140625" style="330" customWidth="1"/>
    <col min="4626" max="4626" width="16.42578125" style="330" customWidth="1"/>
    <col min="4627" max="4629" width="10.140625" style="330"/>
    <col min="4630" max="4632" width="10.42578125" style="330" bestFit="1" customWidth="1"/>
    <col min="4633" max="4633" width="10.140625" style="330" bestFit="1" customWidth="1"/>
    <col min="4634" max="4864" width="10.140625" style="330"/>
    <col min="4865" max="4865" width="6.5703125" style="330" customWidth="1"/>
    <col min="4866" max="4866" width="3.42578125" style="330" customWidth="1"/>
    <col min="4867" max="4867" width="70.5703125" style="330" customWidth="1"/>
    <col min="4868" max="4868" width="10.42578125" style="330" customWidth="1"/>
    <col min="4869" max="4869" width="7.42578125" style="330" customWidth="1"/>
    <col min="4870" max="4870" width="15.140625" style="330" customWidth="1"/>
    <col min="4871" max="4871" width="15.42578125" style="330" customWidth="1"/>
    <col min="4872" max="4872" width="15.5703125" style="330" customWidth="1"/>
    <col min="4873" max="4873" width="15.140625" style="330" customWidth="1"/>
    <col min="4874" max="4874" width="14.85546875" style="330" customWidth="1"/>
    <col min="4875" max="4875" width="12.5703125" style="330" customWidth="1"/>
    <col min="4876" max="4876" width="11.140625" style="330" customWidth="1"/>
    <col min="4877" max="4877" width="17.85546875" style="330" customWidth="1"/>
    <col min="4878" max="4878" width="7.42578125" style="330" customWidth="1"/>
    <col min="4879" max="4879" width="14.140625" style="330" customWidth="1"/>
    <col min="4880" max="4880" width="14" style="330" customWidth="1"/>
    <col min="4881" max="4881" width="20.140625" style="330" customWidth="1"/>
    <col min="4882" max="4882" width="16.42578125" style="330" customWidth="1"/>
    <col min="4883" max="4885" width="10.140625" style="330"/>
    <col min="4886" max="4888" width="10.42578125" style="330" bestFit="1" customWidth="1"/>
    <col min="4889" max="4889" width="10.140625" style="330" bestFit="1" customWidth="1"/>
    <col min="4890" max="5120" width="10.140625" style="330"/>
    <col min="5121" max="5121" width="6.5703125" style="330" customWidth="1"/>
    <col min="5122" max="5122" width="3.42578125" style="330" customWidth="1"/>
    <col min="5123" max="5123" width="70.5703125" style="330" customWidth="1"/>
    <col min="5124" max="5124" width="10.42578125" style="330" customWidth="1"/>
    <col min="5125" max="5125" width="7.42578125" style="330" customWidth="1"/>
    <col min="5126" max="5126" width="15.140625" style="330" customWidth="1"/>
    <col min="5127" max="5127" width="15.42578125" style="330" customWidth="1"/>
    <col min="5128" max="5128" width="15.5703125" style="330" customWidth="1"/>
    <col min="5129" max="5129" width="15.140625" style="330" customWidth="1"/>
    <col min="5130" max="5130" width="14.85546875" style="330" customWidth="1"/>
    <col min="5131" max="5131" width="12.5703125" style="330" customWidth="1"/>
    <col min="5132" max="5132" width="11.140625" style="330" customWidth="1"/>
    <col min="5133" max="5133" width="17.85546875" style="330" customWidth="1"/>
    <col min="5134" max="5134" width="7.42578125" style="330" customWidth="1"/>
    <col min="5135" max="5135" width="14.140625" style="330" customWidth="1"/>
    <col min="5136" max="5136" width="14" style="330" customWidth="1"/>
    <col min="5137" max="5137" width="20.140625" style="330" customWidth="1"/>
    <col min="5138" max="5138" width="16.42578125" style="330" customWidth="1"/>
    <col min="5139" max="5141" width="10.140625" style="330"/>
    <col min="5142" max="5144" width="10.42578125" style="330" bestFit="1" customWidth="1"/>
    <col min="5145" max="5145" width="10.140625" style="330" bestFit="1" customWidth="1"/>
    <col min="5146" max="5376" width="10.140625" style="330"/>
    <col min="5377" max="5377" width="6.5703125" style="330" customWidth="1"/>
    <col min="5378" max="5378" width="3.42578125" style="330" customWidth="1"/>
    <col min="5379" max="5379" width="70.5703125" style="330" customWidth="1"/>
    <col min="5380" max="5380" width="10.42578125" style="330" customWidth="1"/>
    <col min="5381" max="5381" width="7.42578125" style="330" customWidth="1"/>
    <col min="5382" max="5382" width="15.140625" style="330" customWidth="1"/>
    <col min="5383" max="5383" width="15.42578125" style="330" customWidth="1"/>
    <col min="5384" max="5384" width="15.5703125" style="330" customWidth="1"/>
    <col min="5385" max="5385" width="15.140625" style="330" customWidth="1"/>
    <col min="5386" max="5386" width="14.85546875" style="330" customWidth="1"/>
    <col min="5387" max="5387" width="12.5703125" style="330" customWidth="1"/>
    <col min="5388" max="5388" width="11.140625" style="330" customWidth="1"/>
    <col min="5389" max="5389" width="17.85546875" style="330" customWidth="1"/>
    <col min="5390" max="5390" width="7.42578125" style="330" customWidth="1"/>
    <col min="5391" max="5391" width="14.140625" style="330" customWidth="1"/>
    <col min="5392" max="5392" width="14" style="330" customWidth="1"/>
    <col min="5393" max="5393" width="20.140625" style="330" customWidth="1"/>
    <col min="5394" max="5394" width="16.42578125" style="330" customWidth="1"/>
    <col min="5395" max="5397" width="10.140625" style="330"/>
    <col min="5398" max="5400" width="10.42578125" style="330" bestFit="1" customWidth="1"/>
    <col min="5401" max="5401" width="10.140625" style="330" bestFit="1" customWidth="1"/>
    <col min="5402" max="5632" width="10.140625" style="330"/>
    <col min="5633" max="5633" width="6.5703125" style="330" customWidth="1"/>
    <col min="5634" max="5634" width="3.42578125" style="330" customWidth="1"/>
    <col min="5635" max="5635" width="70.5703125" style="330" customWidth="1"/>
    <col min="5636" max="5636" width="10.42578125" style="330" customWidth="1"/>
    <col min="5637" max="5637" width="7.42578125" style="330" customWidth="1"/>
    <col min="5638" max="5638" width="15.140625" style="330" customWidth="1"/>
    <col min="5639" max="5639" width="15.42578125" style="330" customWidth="1"/>
    <col min="5640" max="5640" width="15.5703125" style="330" customWidth="1"/>
    <col min="5641" max="5641" width="15.140625" style="330" customWidth="1"/>
    <col min="5642" max="5642" width="14.85546875" style="330" customWidth="1"/>
    <col min="5643" max="5643" width="12.5703125" style="330" customWidth="1"/>
    <col min="5644" max="5644" width="11.140625" style="330" customWidth="1"/>
    <col min="5645" max="5645" width="17.85546875" style="330" customWidth="1"/>
    <col min="5646" max="5646" width="7.42578125" style="330" customWidth="1"/>
    <col min="5647" max="5647" width="14.140625" style="330" customWidth="1"/>
    <col min="5648" max="5648" width="14" style="330" customWidth="1"/>
    <col min="5649" max="5649" width="20.140625" style="330" customWidth="1"/>
    <col min="5650" max="5650" width="16.42578125" style="330" customWidth="1"/>
    <col min="5651" max="5653" width="10.140625" style="330"/>
    <col min="5654" max="5656" width="10.42578125" style="330" bestFit="1" customWidth="1"/>
    <col min="5657" max="5657" width="10.140625" style="330" bestFit="1" customWidth="1"/>
    <col min="5658" max="5888" width="10.140625" style="330"/>
    <col min="5889" max="5889" width="6.5703125" style="330" customWidth="1"/>
    <col min="5890" max="5890" width="3.42578125" style="330" customWidth="1"/>
    <col min="5891" max="5891" width="70.5703125" style="330" customWidth="1"/>
    <col min="5892" max="5892" width="10.42578125" style="330" customWidth="1"/>
    <col min="5893" max="5893" width="7.42578125" style="330" customWidth="1"/>
    <col min="5894" max="5894" width="15.140625" style="330" customWidth="1"/>
    <col min="5895" max="5895" width="15.42578125" style="330" customWidth="1"/>
    <col min="5896" max="5896" width="15.5703125" style="330" customWidth="1"/>
    <col min="5897" max="5897" width="15.140625" style="330" customWidth="1"/>
    <col min="5898" max="5898" width="14.85546875" style="330" customWidth="1"/>
    <col min="5899" max="5899" width="12.5703125" style="330" customWidth="1"/>
    <col min="5900" max="5900" width="11.140625" style="330" customWidth="1"/>
    <col min="5901" max="5901" width="17.85546875" style="330" customWidth="1"/>
    <col min="5902" max="5902" width="7.42578125" style="330" customWidth="1"/>
    <col min="5903" max="5903" width="14.140625" style="330" customWidth="1"/>
    <col min="5904" max="5904" width="14" style="330" customWidth="1"/>
    <col min="5905" max="5905" width="20.140625" style="330" customWidth="1"/>
    <col min="5906" max="5906" width="16.42578125" style="330" customWidth="1"/>
    <col min="5907" max="5909" width="10.140625" style="330"/>
    <col min="5910" max="5912" width="10.42578125" style="330" bestFit="1" customWidth="1"/>
    <col min="5913" max="5913" width="10.140625" style="330" bestFit="1" customWidth="1"/>
    <col min="5914" max="6144" width="10.140625" style="330"/>
    <col min="6145" max="6145" width="6.5703125" style="330" customWidth="1"/>
    <col min="6146" max="6146" width="3.42578125" style="330" customWidth="1"/>
    <col min="6147" max="6147" width="70.5703125" style="330" customWidth="1"/>
    <col min="6148" max="6148" width="10.42578125" style="330" customWidth="1"/>
    <col min="6149" max="6149" width="7.42578125" style="330" customWidth="1"/>
    <col min="6150" max="6150" width="15.140625" style="330" customWidth="1"/>
    <col min="6151" max="6151" width="15.42578125" style="330" customWidth="1"/>
    <col min="6152" max="6152" width="15.5703125" style="330" customWidth="1"/>
    <col min="6153" max="6153" width="15.140625" style="330" customWidth="1"/>
    <col min="6154" max="6154" width="14.85546875" style="330" customWidth="1"/>
    <col min="6155" max="6155" width="12.5703125" style="330" customWidth="1"/>
    <col min="6156" max="6156" width="11.140625" style="330" customWidth="1"/>
    <col min="6157" max="6157" width="17.85546875" style="330" customWidth="1"/>
    <col min="6158" max="6158" width="7.42578125" style="330" customWidth="1"/>
    <col min="6159" max="6159" width="14.140625" style="330" customWidth="1"/>
    <col min="6160" max="6160" width="14" style="330" customWidth="1"/>
    <col min="6161" max="6161" width="20.140625" style="330" customWidth="1"/>
    <col min="6162" max="6162" width="16.42578125" style="330" customWidth="1"/>
    <col min="6163" max="6165" width="10.140625" style="330"/>
    <col min="6166" max="6168" width="10.42578125" style="330" bestFit="1" customWidth="1"/>
    <col min="6169" max="6169" width="10.140625" style="330" bestFit="1" customWidth="1"/>
    <col min="6170" max="6400" width="10.140625" style="330"/>
    <col min="6401" max="6401" width="6.5703125" style="330" customWidth="1"/>
    <col min="6402" max="6402" width="3.42578125" style="330" customWidth="1"/>
    <col min="6403" max="6403" width="70.5703125" style="330" customWidth="1"/>
    <col min="6404" max="6404" width="10.42578125" style="330" customWidth="1"/>
    <col min="6405" max="6405" width="7.42578125" style="330" customWidth="1"/>
    <col min="6406" max="6406" width="15.140625" style="330" customWidth="1"/>
    <col min="6407" max="6407" width="15.42578125" style="330" customWidth="1"/>
    <col min="6408" max="6408" width="15.5703125" style="330" customWidth="1"/>
    <col min="6409" max="6409" width="15.140625" style="330" customWidth="1"/>
    <col min="6410" max="6410" width="14.85546875" style="330" customWidth="1"/>
    <col min="6411" max="6411" width="12.5703125" style="330" customWidth="1"/>
    <col min="6412" max="6412" width="11.140625" style="330" customWidth="1"/>
    <col min="6413" max="6413" width="17.85546875" style="330" customWidth="1"/>
    <col min="6414" max="6414" width="7.42578125" style="330" customWidth="1"/>
    <col min="6415" max="6415" width="14.140625" style="330" customWidth="1"/>
    <col min="6416" max="6416" width="14" style="330" customWidth="1"/>
    <col min="6417" max="6417" width="20.140625" style="330" customWidth="1"/>
    <col min="6418" max="6418" width="16.42578125" style="330" customWidth="1"/>
    <col min="6419" max="6421" width="10.140625" style="330"/>
    <col min="6422" max="6424" width="10.42578125" style="330" bestFit="1" customWidth="1"/>
    <col min="6425" max="6425" width="10.140625" style="330" bestFit="1" customWidth="1"/>
    <col min="6426" max="6656" width="10.140625" style="330"/>
    <col min="6657" max="6657" width="6.5703125" style="330" customWidth="1"/>
    <col min="6658" max="6658" width="3.42578125" style="330" customWidth="1"/>
    <col min="6659" max="6659" width="70.5703125" style="330" customWidth="1"/>
    <col min="6660" max="6660" width="10.42578125" style="330" customWidth="1"/>
    <col min="6661" max="6661" width="7.42578125" style="330" customWidth="1"/>
    <col min="6662" max="6662" width="15.140625" style="330" customWidth="1"/>
    <col min="6663" max="6663" width="15.42578125" style="330" customWidth="1"/>
    <col min="6664" max="6664" width="15.5703125" style="330" customWidth="1"/>
    <col min="6665" max="6665" width="15.140625" style="330" customWidth="1"/>
    <col min="6666" max="6666" width="14.85546875" style="330" customWidth="1"/>
    <col min="6667" max="6667" width="12.5703125" style="330" customWidth="1"/>
    <col min="6668" max="6668" width="11.140625" style="330" customWidth="1"/>
    <col min="6669" max="6669" width="17.85546875" style="330" customWidth="1"/>
    <col min="6670" max="6670" width="7.42578125" style="330" customWidth="1"/>
    <col min="6671" max="6671" width="14.140625" style="330" customWidth="1"/>
    <col min="6672" max="6672" width="14" style="330" customWidth="1"/>
    <col min="6673" max="6673" width="20.140625" style="330" customWidth="1"/>
    <col min="6674" max="6674" width="16.42578125" style="330" customWidth="1"/>
    <col min="6675" max="6677" width="10.140625" style="330"/>
    <col min="6678" max="6680" width="10.42578125" style="330" bestFit="1" customWidth="1"/>
    <col min="6681" max="6681" width="10.140625" style="330" bestFit="1" customWidth="1"/>
    <col min="6682" max="6912" width="10.140625" style="330"/>
    <col min="6913" max="6913" width="6.5703125" style="330" customWidth="1"/>
    <col min="6914" max="6914" width="3.42578125" style="330" customWidth="1"/>
    <col min="6915" max="6915" width="70.5703125" style="330" customWidth="1"/>
    <col min="6916" max="6916" width="10.42578125" style="330" customWidth="1"/>
    <col min="6917" max="6917" width="7.42578125" style="330" customWidth="1"/>
    <col min="6918" max="6918" width="15.140625" style="330" customWidth="1"/>
    <col min="6919" max="6919" width="15.42578125" style="330" customWidth="1"/>
    <col min="6920" max="6920" width="15.5703125" style="330" customWidth="1"/>
    <col min="6921" max="6921" width="15.140625" style="330" customWidth="1"/>
    <col min="6922" max="6922" width="14.85546875" style="330" customWidth="1"/>
    <col min="6923" max="6923" width="12.5703125" style="330" customWidth="1"/>
    <col min="6924" max="6924" width="11.140625" style="330" customWidth="1"/>
    <col min="6925" max="6925" width="17.85546875" style="330" customWidth="1"/>
    <col min="6926" max="6926" width="7.42578125" style="330" customWidth="1"/>
    <col min="6927" max="6927" width="14.140625" style="330" customWidth="1"/>
    <col min="6928" max="6928" width="14" style="330" customWidth="1"/>
    <col min="6929" max="6929" width="20.140625" style="330" customWidth="1"/>
    <col min="6930" max="6930" width="16.42578125" style="330" customWidth="1"/>
    <col min="6931" max="6933" width="10.140625" style="330"/>
    <col min="6934" max="6936" width="10.42578125" style="330" bestFit="1" customWidth="1"/>
    <col min="6937" max="6937" width="10.140625" style="330" bestFit="1" customWidth="1"/>
    <col min="6938" max="7168" width="10.140625" style="330"/>
    <col min="7169" max="7169" width="6.5703125" style="330" customWidth="1"/>
    <col min="7170" max="7170" width="3.42578125" style="330" customWidth="1"/>
    <col min="7171" max="7171" width="70.5703125" style="330" customWidth="1"/>
    <col min="7172" max="7172" width="10.42578125" style="330" customWidth="1"/>
    <col min="7173" max="7173" width="7.42578125" style="330" customWidth="1"/>
    <col min="7174" max="7174" width="15.140625" style="330" customWidth="1"/>
    <col min="7175" max="7175" width="15.42578125" style="330" customWidth="1"/>
    <col min="7176" max="7176" width="15.5703125" style="330" customWidth="1"/>
    <col min="7177" max="7177" width="15.140625" style="330" customWidth="1"/>
    <col min="7178" max="7178" width="14.85546875" style="330" customWidth="1"/>
    <col min="7179" max="7179" width="12.5703125" style="330" customWidth="1"/>
    <col min="7180" max="7180" width="11.140625" style="330" customWidth="1"/>
    <col min="7181" max="7181" width="17.85546875" style="330" customWidth="1"/>
    <col min="7182" max="7182" width="7.42578125" style="330" customWidth="1"/>
    <col min="7183" max="7183" width="14.140625" style="330" customWidth="1"/>
    <col min="7184" max="7184" width="14" style="330" customWidth="1"/>
    <col min="7185" max="7185" width="20.140625" style="330" customWidth="1"/>
    <col min="7186" max="7186" width="16.42578125" style="330" customWidth="1"/>
    <col min="7187" max="7189" width="10.140625" style="330"/>
    <col min="7190" max="7192" width="10.42578125" style="330" bestFit="1" customWidth="1"/>
    <col min="7193" max="7193" width="10.140625" style="330" bestFit="1" customWidth="1"/>
    <col min="7194" max="7424" width="10.140625" style="330"/>
    <col min="7425" max="7425" width="6.5703125" style="330" customWidth="1"/>
    <col min="7426" max="7426" width="3.42578125" style="330" customWidth="1"/>
    <col min="7427" max="7427" width="70.5703125" style="330" customWidth="1"/>
    <col min="7428" max="7428" width="10.42578125" style="330" customWidth="1"/>
    <col min="7429" max="7429" width="7.42578125" style="330" customWidth="1"/>
    <col min="7430" max="7430" width="15.140625" style="330" customWidth="1"/>
    <col min="7431" max="7431" width="15.42578125" style="330" customWidth="1"/>
    <col min="7432" max="7432" width="15.5703125" style="330" customWidth="1"/>
    <col min="7433" max="7433" width="15.140625" style="330" customWidth="1"/>
    <col min="7434" max="7434" width="14.85546875" style="330" customWidth="1"/>
    <col min="7435" max="7435" width="12.5703125" style="330" customWidth="1"/>
    <col min="7436" max="7436" width="11.140625" style="330" customWidth="1"/>
    <col min="7437" max="7437" width="17.85546875" style="330" customWidth="1"/>
    <col min="7438" max="7438" width="7.42578125" style="330" customWidth="1"/>
    <col min="7439" max="7439" width="14.140625" style="330" customWidth="1"/>
    <col min="7440" max="7440" width="14" style="330" customWidth="1"/>
    <col min="7441" max="7441" width="20.140625" style="330" customWidth="1"/>
    <col min="7442" max="7442" width="16.42578125" style="330" customWidth="1"/>
    <col min="7443" max="7445" width="10.140625" style="330"/>
    <col min="7446" max="7448" width="10.42578125" style="330" bestFit="1" customWidth="1"/>
    <col min="7449" max="7449" width="10.140625" style="330" bestFit="1" customWidth="1"/>
    <col min="7450" max="7680" width="10.140625" style="330"/>
    <col min="7681" max="7681" width="6.5703125" style="330" customWidth="1"/>
    <col min="7682" max="7682" width="3.42578125" style="330" customWidth="1"/>
    <col min="7683" max="7683" width="70.5703125" style="330" customWidth="1"/>
    <col min="7684" max="7684" width="10.42578125" style="330" customWidth="1"/>
    <col min="7685" max="7685" width="7.42578125" style="330" customWidth="1"/>
    <col min="7686" max="7686" width="15.140625" style="330" customWidth="1"/>
    <col min="7687" max="7687" width="15.42578125" style="330" customWidth="1"/>
    <col min="7688" max="7688" width="15.5703125" style="330" customWidth="1"/>
    <col min="7689" max="7689" width="15.140625" style="330" customWidth="1"/>
    <col min="7690" max="7690" width="14.85546875" style="330" customWidth="1"/>
    <col min="7691" max="7691" width="12.5703125" style="330" customWidth="1"/>
    <col min="7692" max="7692" width="11.140625" style="330" customWidth="1"/>
    <col min="7693" max="7693" width="17.85546875" style="330" customWidth="1"/>
    <col min="7694" max="7694" width="7.42578125" style="330" customWidth="1"/>
    <col min="7695" max="7695" width="14.140625" style="330" customWidth="1"/>
    <col min="7696" max="7696" width="14" style="330" customWidth="1"/>
    <col min="7697" max="7697" width="20.140625" style="330" customWidth="1"/>
    <col min="7698" max="7698" width="16.42578125" style="330" customWidth="1"/>
    <col min="7699" max="7701" width="10.140625" style="330"/>
    <col min="7702" max="7704" width="10.42578125" style="330" bestFit="1" customWidth="1"/>
    <col min="7705" max="7705" width="10.140625" style="330" bestFit="1" customWidth="1"/>
    <col min="7706" max="7936" width="10.140625" style="330"/>
    <col min="7937" max="7937" width="6.5703125" style="330" customWidth="1"/>
    <col min="7938" max="7938" width="3.42578125" style="330" customWidth="1"/>
    <col min="7939" max="7939" width="70.5703125" style="330" customWidth="1"/>
    <col min="7940" max="7940" width="10.42578125" style="330" customWidth="1"/>
    <col min="7941" max="7941" width="7.42578125" style="330" customWidth="1"/>
    <col min="7942" max="7942" width="15.140625" style="330" customWidth="1"/>
    <col min="7943" max="7943" width="15.42578125" style="330" customWidth="1"/>
    <col min="7944" max="7944" width="15.5703125" style="330" customWidth="1"/>
    <col min="7945" max="7945" width="15.140625" style="330" customWidth="1"/>
    <col min="7946" max="7946" width="14.85546875" style="330" customWidth="1"/>
    <col min="7947" max="7947" width="12.5703125" style="330" customWidth="1"/>
    <col min="7948" max="7948" width="11.140625" style="330" customWidth="1"/>
    <col min="7949" max="7949" width="17.85546875" style="330" customWidth="1"/>
    <col min="7950" max="7950" width="7.42578125" style="330" customWidth="1"/>
    <col min="7951" max="7951" width="14.140625" style="330" customWidth="1"/>
    <col min="7952" max="7952" width="14" style="330" customWidth="1"/>
    <col min="7953" max="7953" width="20.140625" style="330" customWidth="1"/>
    <col min="7954" max="7954" width="16.42578125" style="330" customWidth="1"/>
    <col min="7955" max="7957" width="10.140625" style="330"/>
    <col min="7958" max="7960" width="10.42578125" style="330" bestFit="1" customWidth="1"/>
    <col min="7961" max="7961" width="10.140625" style="330" bestFit="1" customWidth="1"/>
    <col min="7962" max="8192" width="10.140625" style="330"/>
    <col min="8193" max="8193" width="6.5703125" style="330" customWidth="1"/>
    <col min="8194" max="8194" width="3.42578125" style="330" customWidth="1"/>
    <col min="8195" max="8195" width="70.5703125" style="330" customWidth="1"/>
    <col min="8196" max="8196" width="10.42578125" style="330" customWidth="1"/>
    <col min="8197" max="8197" width="7.42578125" style="330" customWidth="1"/>
    <col min="8198" max="8198" width="15.140625" style="330" customWidth="1"/>
    <col min="8199" max="8199" width="15.42578125" style="330" customWidth="1"/>
    <col min="8200" max="8200" width="15.5703125" style="330" customWidth="1"/>
    <col min="8201" max="8201" width="15.140625" style="330" customWidth="1"/>
    <col min="8202" max="8202" width="14.85546875" style="330" customWidth="1"/>
    <col min="8203" max="8203" width="12.5703125" style="330" customWidth="1"/>
    <col min="8204" max="8204" width="11.140625" style="330" customWidth="1"/>
    <col min="8205" max="8205" width="17.85546875" style="330" customWidth="1"/>
    <col min="8206" max="8206" width="7.42578125" style="330" customWidth="1"/>
    <col min="8207" max="8207" width="14.140625" style="330" customWidth="1"/>
    <col min="8208" max="8208" width="14" style="330" customWidth="1"/>
    <col min="8209" max="8209" width="20.140625" style="330" customWidth="1"/>
    <col min="8210" max="8210" width="16.42578125" style="330" customWidth="1"/>
    <col min="8211" max="8213" width="10.140625" style="330"/>
    <col min="8214" max="8216" width="10.42578125" style="330" bestFit="1" customWidth="1"/>
    <col min="8217" max="8217" width="10.140625" style="330" bestFit="1" customWidth="1"/>
    <col min="8218" max="8448" width="10.140625" style="330"/>
    <col min="8449" max="8449" width="6.5703125" style="330" customWidth="1"/>
    <col min="8450" max="8450" width="3.42578125" style="330" customWidth="1"/>
    <col min="8451" max="8451" width="70.5703125" style="330" customWidth="1"/>
    <col min="8452" max="8452" width="10.42578125" style="330" customWidth="1"/>
    <col min="8453" max="8453" width="7.42578125" style="330" customWidth="1"/>
    <col min="8454" max="8454" width="15.140625" style="330" customWidth="1"/>
    <col min="8455" max="8455" width="15.42578125" style="330" customWidth="1"/>
    <col min="8456" max="8456" width="15.5703125" style="330" customWidth="1"/>
    <col min="8457" max="8457" width="15.140625" style="330" customWidth="1"/>
    <col min="8458" max="8458" width="14.85546875" style="330" customWidth="1"/>
    <col min="8459" max="8459" width="12.5703125" style="330" customWidth="1"/>
    <col min="8460" max="8460" width="11.140625" style="330" customWidth="1"/>
    <col min="8461" max="8461" width="17.85546875" style="330" customWidth="1"/>
    <col min="8462" max="8462" width="7.42578125" style="330" customWidth="1"/>
    <col min="8463" max="8463" width="14.140625" style="330" customWidth="1"/>
    <col min="8464" max="8464" width="14" style="330" customWidth="1"/>
    <col min="8465" max="8465" width="20.140625" style="330" customWidth="1"/>
    <col min="8466" max="8466" width="16.42578125" style="330" customWidth="1"/>
    <col min="8467" max="8469" width="10.140625" style="330"/>
    <col min="8470" max="8472" width="10.42578125" style="330" bestFit="1" customWidth="1"/>
    <col min="8473" max="8473" width="10.140625" style="330" bestFit="1" customWidth="1"/>
    <col min="8474" max="8704" width="10.140625" style="330"/>
    <col min="8705" max="8705" width="6.5703125" style="330" customWidth="1"/>
    <col min="8706" max="8706" width="3.42578125" style="330" customWidth="1"/>
    <col min="8707" max="8707" width="70.5703125" style="330" customWidth="1"/>
    <col min="8708" max="8708" width="10.42578125" style="330" customWidth="1"/>
    <col min="8709" max="8709" width="7.42578125" style="330" customWidth="1"/>
    <col min="8710" max="8710" width="15.140625" style="330" customWidth="1"/>
    <col min="8711" max="8711" width="15.42578125" style="330" customWidth="1"/>
    <col min="8712" max="8712" width="15.5703125" style="330" customWidth="1"/>
    <col min="8713" max="8713" width="15.140625" style="330" customWidth="1"/>
    <col min="8714" max="8714" width="14.85546875" style="330" customWidth="1"/>
    <col min="8715" max="8715" width="12.5703125" style="330" customWidth="1"/>
    <col min="8716" max="8716" width="11.140625" style="330" customWidth="1"/>
    <col min="8717" max="8717" width="17.85546875" style="330" customWidth="1"/>
    <col min="8718" max="8718" width="7.42578125" style="330" customWidth="1"/>
    <col min="8719" max="8719" width="14.140625" style="330" customWidth="1"/>
    <col min="8720" max="8720" width="14" style="330" customWidth="1"/>
    <col min="8721" max="8721" width="20.140625" style="330" customWidth="1"/>
    <col min="8722" max="8722" width="16.42578125" style="330" customWidth="1"/>
    <col min="8723" max="8725" width="10.140625" style="330"/>
    <col min="8726" max="8728" width="10.42578125" style="330" bestFit="1" customWidth="1"/>
    <col min="8729" max="8729" width="10.140625" style="330" bestFit="1" customWidth="1"/>
    <col min="8730" max="8960" width="10.140625" style="330"/>
    <col min="8961" max="8961" width="6.5703125" style="330" customWidth="1"/>
    <col min="8962" max="8962" width="3.42578125" style="330" customWidth="1"/>
    <col min="8963" max="8963" width="70.5703125" style="330" customWidth="1"/>
    <col min="8964" max="8964" width="10.42578125" style="330" customWidth="1"/>
    <col min="8965" max="8965" width="7.42578125" style="330" customWidth="1"/>
    <col min="8966" max="8966" width="15.140625" style="330" customWidth="1"/>
    <col min="8967" max="8967" width="15.42578125" style="330" customWidth="1"/>
    <col min="8968" max="8968" width="15.5703125" style="330" customWidth="1"/>
    <col min="8969" max="8969" width="15.140625" style="330" customWidth="1"/>
    <col min="8970" max="8970" width="14.85546875" style="330" customWidth="1"/>
    <col min="8971" max="8971" width="12.5703125" style="330" customWidth="1"/>
    <col min="8972" max="8972" width="11.140625" style="330" customWidth="1"/>
    <col min="8973" max="8973" width="17.85546875" style="330" customWidth="1"/>
    <col min="8974" max="8974" width="7.42578125" style="330" customWidth="1"/>
    <col min="8975" max="8975" width="14.140625" style="330" customWidth="1"/>
    <col min="8976" max="8976" width="14" style="330" customWidth="1"/>
    <col min="8977" max="8977" width="20.140625" style="330" customWidth="1"/>
    <col min="8978" max="8978" width="16.42578125" style="330" customWidth="1"/>
    <col min="8979" max="8981" width="10.140625" style="330"/>
    <col min="8982" max="8984" width="10.42578125" style="330" bestFit="1" customWidth="1"/>
    <col min="8985" max="8985" width="10.140625" style="330" bestFit="1" customWidth="1"/>
    <col min="8986" max="9216" width="10.140625" style="330"/>
    <col min="9217" max="9217" width="6.5703125" style="330" customWidth="1"/>
    <col min="9218" max="9218" width="3.42578125" style="330" customWidth="1"/>
    <col min="9219" max="9219" width="70.5703125" style="330" customWidth="1"/>
    <col min="9220" max="9220" width="10.42578125" style="330" customWidth="1"/>
    <col min="9221" max="9221" width="7.42578125" style="330" customWidth="1"/>
    <col min="9222" max="9222" width="15.140625" style="330" customWidth="1"/>
    <col min="9223" max="9223" width="15.42578125" style="330" customWidth="1"/>
    <col min="9224" max="9224" width="15.5703125" style="330" customWidth="1"/>
    <col min="9225" max="9225" width="15.140625" style="330" customWidth="1"/>
    <col min="9226" max="9226" width="14.85546875" style="330" customWidth="1"/>
    <col min="9227" max="9227" width="12.5703125" style="330" customWidth="1"/>
    <col min="9228" max="9228" width="11.140625" style="330" customWidth="1"/>
    <col min="9229" max="9229" width="17.85546875" style="330" customWidth="1"/>
    <col min="9230" max="9230" width="7.42578125" style="330" customWidth="1"/>
    <col min="9231" max="9231" width="14.140625" style="330" customWidth="1"/>
    <col min="9232" max="9232" width="14" style="330" customWidth="1"/>
    <col min="9233" max="9233" width="20.140625" style="330" customWidth="1"/>
    <col min="9234" max="9234" width="16.42578125" style="330" customWidth="1"/>
    <col min="9235" max="9237" width="10.140625" style="330"/>
    <col min="9238" max="9240" width="10.42578125" style="330" bestFit="1" customWidth="1"/>
    <col min="9241" max="9241" width="10.140625" style="330" bestFit="1" customWidth="1"/>
    <col min="9242" max="9472" width="10.140625" style="330"/>
    <col min="9473" max="9473" width="6.5703125" style="330" customWidth="1"/>
    <col min="9474" max="9474" width="3.42578125" style="330" customWidth="1"/>
    <col min="9475" max="9475" width="70.5703125" style="330" customWidth="1"/>
    <col min="9476" max="9476" width="10.42578125" style="330" customWidth="1"/>
    <col min="9477" max="9477" width="7.42578125" style="330" customWidth="1"/>
    <col min="9478" max="9478" width="15.140625" style="330" customWidth="1"/>
    <col min="9479" max="9479" width="15.42578125" style="330" customWidth="1"/>
    <col min="9480" max="9480" width="15.5703125" style="330" customWidth="1"/>
    <col min="9481" max="9481" width="15.140625" style="330" customWidth="1"/>
    <col min="9482" max="9482" width="14.85546875" style="330" customWidth="1"/>
    <col min="9483" max="9483" width="12.5703125" style="330" customWidth="1"/>
    <col min="9484" max="9484" width="11.140625" style="330" customWidth="1"/>
    <col min="9485" max="9485" width="17.85546875" style="330" customWidth="1"/>
    <col min="9486" max="9486" width="7.42578125" style="330" customWidth="1"/>
    <col min="9487" max="9487" width="14.140625" style="330" customWidth="1"/>
    <col min="9488" max="9488" width="14" style="330" customWidth="1"/>
    <col min="9489" max="9489" width="20.140625" style="330" customWidth="1"/>
    <col min="9490" max="9490" width="16.42578125" style="330" customWidth="1"/>
    <col min="9491" max="9493" width="10.140625" style="330"/>
    <col min="9494" max="9496" width="10.42578125" style="330" bestFit="1" customWidth="1"/>
    <col min="9497" max="9497" width="10.140625" style="330" bestFit="1" customWidth="1"/>
    <col min="9498" max="9728" width="10.140625" style="330"/>
    <col min="9729" max="9729" width="6.5703125" style="330" customWidth="1"/>
    <col min="9730" max="9730" width="3.42578125" style="330" customWidth="1"/>
    <col min="9731" max="9731" width="70.5703125" style="330" customWidth="1"/>
    <col min="9732" max="9732" width="10.42578125" style="330" customWidth="1"/>
    <col min="9733" max="9733" width="7.42578125" style="330" customWidth="1"/>
    <col min="9734" max="9734" width="15.140625" style="330" customWidth="1"/>
    <col min="9735" max="9735" width="15.42578125" style="330" customWidth="1"/>
    <col min="9736" max="9736" width="15.5703125" style="330" customWidth="1"/>
    <col min="9737" max="9737" width="15.140625" style="330" customWidth="1"/>
    <col min="9738" max="9738" width="14.85546875" style="330" customWidth="1"/>
    <col min="9739" max="9739" width="12.5703125" style="330" customWidth="1"/>
    <col min="9740" max="9740" width="11.140625" style="330" customWidth="1"/>
    <col min="9741" max="9741" width="17.85546875" style="330" customWidth="1"/>
    <col min="9742" max="9742" width="7.42578125" style="330" customWidth="1"/>
    <col min="9743" max="9743" width="14.140625" style="330" customWidth="1"/>
    <col min="9744" max="9744" width="14" style="330" customWidth="1"/>
    <col min="9745" max="9745" width="20.140625" style="330" customWidth="1"/>
    <col min="9746" max="9746" width="16.42578125" style="330" customWidth="1"/>
    <col min="9747" max="9749" width="10.140625" style="330"/>
    <col min="9750" max="9752" width="10.42578125" style="330" bestFit="1" customWidth="1"/>
    <col min="9753" max="9753" width="10.140625" style="330" bestFit="1" customWidth="1"/>
    <col min="9754" max="9984" width="10.140625" style="330"/>
    <col min="9985" max="9985" width="6.5703125" style="330" customWidth="1"/>
    <col min="9986" max="9986" width="3.42578125" style="330" customWidth="1"/>
    <col min="9987" max="9987" width="70.5703125" style="330" customWidth="1"/>
    <col min="9988" max="9988" width="10.42578125" style="330" customWidth="1"/>
    <col min="9989" max="9989" width="7.42578125" style="330" customWidth="1"/>
    <col min="9990" max="9990" width="15.140625" style="330" customWidth="1"/>
    <col min="9991" max="9991" width="15.42578125" style="330" customWidth="1"/>
    <col min="9992" max="9992" width="15.5703125" style="330" customWidth="1"/>
    <col min="9993" max="9993" width="15.140625" style="330" customWidth="1"/>
    <col min="9994" max="9994" width="14.85546875" style="330" customWidth="1"/>
    <col min="9995" max="9995" width="12.5703125" style="330" customWidth="1"/>
    <col min="9996" max="9996" width="11.140625" style="330" customWidth="1"/>
    <col min="9997" max="9997" width="17.85546875" style="330" customWidth="1"/>
    <col min="9998" max="9998" width="7.42578125" style="330" customWidth="1"/>
    <col min="9999" max="9999" width="14.140625" style="330" customWidth="1"/>
    <col min="10000" max="10000" width="14" style="330" customWidth="1"/>
    <col min="10001" max="10001" width="20.140625" style="330" customWidth="1"/>
    <col min="10002" max="10002" width="16.42578125" style="330" customWidth="1"/>
    <col min="10003" max="10005" width="10.140625" style="330"/>
    <col min="10006" max="10008" width="10.42578125" style="330" bestFit="1" customWidth="1"/>
    <col min="10009" max="10009" width="10.140625" style="330" bestFit="1" customWidth="1"/>
    <col min="10010" max="10240" width="10.140625" style="330"/>
    <col min="10241" max="10241" width="6.5703125" style="330" customWidth="1"/>
    <col min="10242" max="10242" width="3.42578125" style="330" customWidth="1"/>
    <col min="10243" max="10243" width="70.5703125" style="330" customWidth="1"/>
    <col min="10244" max="10244" width="10.42578125" style="330" customWidth="1"/>
    <col min="10245" max="10245" width="7.42578125" style="330" customWidth="1"/>
    <col min="10246" max="10246" width="15.140625" style="330" customWidth="1"/>
    <col min="10247" max="10247" width="15.42578125" style="330" customWidth="1"/>
    <col min="10248" max="10248" width="15.5703125" style="330" customWidth="1"/>
    <col min="10249" max="10249" width="15.140625" style="330" customWidth="1"/>
    <col min="10250" max="10250" width="14.85546875" style="330" customWidth="1"/>
    <col min="10251" max="10251" width="12.5703125" style="330" customWidth="1"/>
    <col min="10252" max="10252" width="11.140625" style="330" customWidth="1"/>
    <col min="10253" max="10253" width="17.85546875" style="330" customWidth="1"/>
    <col min="10254" max="10254" width="7.42578125" style="330" customWidth="1"/>
    <col min="10255" max="10255" width="14.140625" style="330" customWidth="1"/>
    <col min="10256" max="10256" width="14" style="330" customWidth="1"/>
    <col min="10257" max="10257" width="20.140625" style="330" customWidth="1"/>
    <col min="10258" max="10258" width="16.42578125" style="330" customWidth="1"/>
    <col min="10259" max="10261" width="10.140625" style="330"/>
    <col min="10262" max="10264" width="10.42578125" style="330" bestFit="1" customWidth="1"/>
    <col min="10265" max="10265" width="10.140625" style="330" bestFit="1" customWidth="1"/>
    <col min="10266" max="10496" width="10.140625" style="330"/>
    <col min="10497" max="10497" width="6.5703125" style="330" customWidth="1"/>
    <col min="10498" max="10498" width="3.42578125" style="330" customWidth="1"/>
    <col min="10499" max="10499" width="70.5703125" style="330" customWidth="1"/>
    <col min="10500" max="10500" width="10.42578125" style="330" customWidth="1"/>
    <col min="10501" max="10501" width="7.42578125" style="330" customWidth="1"/>
    <col min="10502" max="10502" width="15.140625" style="330" customWidth="1"/>
    <col min="10503" max="10503" width="15.42578125" style="330" customWidth="1"/>
    <col min="10504" max="10504" width="15.5703125" style="330" customWidth="1"/>
    <col min="10505" max="10505" width="15.140625" style="330" customWidth="1"/>
    <col min="10506" max="10506" width="14.85546875" style="330" customWidth="1"/>
    <col min="10507" max="10507" width="12.5703125" style="330" customWidth="1"/>
    <col min="10508" max="10508" width="11.140625" style="330" customWidth="1"/>
    <col min="10509" max="10509" width="17.85546875" style="330" customWidth="1"/>
    <col min="10510" max="10510" width="7.42578125" style="330" customWidth="1"/>
    <col min="10511" max="10511" width="14.140625" style="330" customWidth="1"/>
    <col min="10512" max="10512" width="14" style="330" customWidth="1"/>
    <col min="10513" max="10513" width="20.140625" style="330" customWidth="1"/>
    <col min="10514" max="10514" width="16.42578125" style="330" customWidth="1"/>
    <col min="10515" max="10517" width="10.140625" style="330"/>
    <col min="10518" max="10520" width="10.42578125" style="330" bestFit="1" customWidth="1"/>
    <col min="10521" max="10521" width="10.140625" style="330" bestFit="1" customWidth="1"/>
    <col min="10522" max="10752" width="10.140625" style="330"/>
    <col min="10753" max="10753" width="6.5703125" style="330" customWidth="1"/>
    <col min="10754" max="10754" width="3.42578125" style="330" customWidth="1"/>
    <col min="10755" max="10755" width="70.5703125" style="330" customWidth="1"/>
    <col min="10756" max="10756" width="10.42578125" style="330" customWidth="1"/>
    <col min="10757" max="10757" width="7.42578125" style="330" customWidth="1"/>
    <col min="10758" max="10758" width="15.140625" style="330" customWidth="1"/>
    <col min="10759" max="10759" width="15.42578125" style="330" customWidth="1"/>
    <col min="10760" max="10760" width="15.5703125" style="330" customWidth="1"/>
    <col min="10761" max="10761" width="15.140625" style="330" customWidth="1"/>
    <col min="10762" max="10762" width="14.85546875" style="330" customWidth="1"/>
    <col min="10763" max="10763" width="12.5703125" style="330" customWidth="1"/>
    <col min="10764" max="10764" width="11.140625" style="330" customWidth="1"/>
    <col min="10765" max="10765" width="17.85546875" style="330" customWidth="1"/>
    <col min="10766" max="10766" width="7.42578125" style="330" customWidth="1"/>
    <col min="10767" max="10767" width="14.140625" style="330" customWidth="1"/>
    <col min="10768" max="10768" width="14" style="330" customWidth="1"/>
    <col min="10769" max="10769" width="20.140625" style="330" customWidth="1"/>
    <col min="10770" max="10770" width="16.42578125" style="330" customWidth="1"/>
    <col min="10771" max="10773" width="10.140625" style="330"/>
    <col min="10774" max="10776" width="10.42578125" style="330" bestFit="1" customWidth="1"/>
    <col min="10777" max="10777" width="10.140625" style="330" bestFit="1" customWidth="1"/>
    <col min="10778" max="11008" width="10.140625" style="330"/>
    <col min="11009" max="11009" width="6.5703125" style="330" customWidth="1"/>
    <col min="11010" max="11010" width="3.42578125" style="330" customWidth="1"/>
    <col min="11011" max="11011" width="70.5703125" style="330" customWidth="1"/>
    <col min="11012" max="11012" width="10.42578125" style="330" customWidth="1"/>
    <col min="11013" max="11013" width="7.42578125" style="330" customWidth="1"/>
    <col min="11014" max="11014" width="15.140625" style="330" customWidth="1"/>
    <col min="11015" max="11015" width="15.42578125" style="330" customWidth="1"/>
    <col min="11016" max="11016" width="15.5703125" style="330" customWidth="1"/>
    <col min="11017" max="11017" width="15.140625" style="330" customWidth="1"/>
    <col min="11018" max="11018" width="14.85546875" style="330" customWidth="1"/>
    <col min="11019" max="11019" width="12.5703125" style="330" customWidth="1"/>
    <col min="11020" max="11020" width="11.140625" style="330" customWidth="1"/>
    <col min="11021" max="11021" width="17.85546875" style="330" customWidth="1"/>
    <col min="11022" max="11022" width="7.42578125" style="330" customWidth="1"/>
    <col min="11023" max="11023" width="14.140625" style="330" customWidth="1"/>
    <col min="11024" max="11024" width="14" style="330" customWidth="1"/>
    <col min="11025" max="11025" width="20.140625" style="330" customWidth="1"/>
    <col min="11026" max="11026" width="16.42578125" style="330" customWidth="1"/>
    <col min="11027" max="11029" width="10.140625" style="330"/>
    <col min="11030" max="11032" width="10.42578125" style="330" bestFit="1" customWidth="1"/>
    <col min="11033" max="11033" width="10.140625" style="330" bestFit="1" customWidth="1"/>
    <col min="11034" max="11264" width="10.140625" style="330"/>
    <col min="11265" max="11265" width="6.5703125" style="330" customWidth="1"/>
    <col min="11266" max="11266" width="3.42578125" style="330" customWidth="1"/>
    <col min="11267" max="11267" width="70.5703125" style="330" customWidth="1"/>
    <col min="11268" max="11268" width="10.42578125" style="330" customWidth="1"/>
    <col min="11269" max="11269" width="7.42578125" style="330" customWidth="1"/>
    <col min="11270" max="11270" width="15.140625" style="330" customWidth="1"/>
    <col min="11271" max="11271" width="15.42578125" style="330" customWidth="1"/>
    <col min="11272" max="11272" width="15.5703125" style="330" customWidth="1"/>
    <col min="11273" max="11273" width="15.140625" style="330" customWidth="1"/>
    <col min="11274" max="11274" width="14.85546875" style="330" customWidth="1"/>
    <col min="11275" max="11275" width="12.5703125" style="330" customWidth="1"/>
    <col min="11276" max="11276" width="11.140625" style="330" customWidth="1"/>
    <col min="11277" max="11277" width="17.85546875" style="330" customWidth="1"/>
    <col min="11278" max="11278" width="7.42578125" style="330" customWidth="1"/>
    <col min="11279" max="11279" width="14.140625" style="330" customWidth="1"/>
    <col min="11280" max="11280" width="14" style="330" customWidth="1"/>
    <col min="11281" max="11281" width="20.140625" style="330" customWidth="1"/>
    <col min="11282" max="11282" width="16.42578125" style="330" customWidth="1"/>
    <col min="11283" max="11285" width="10.140625" style="330"/>
    <col min="11286" max="11288" width="10.42578125" style="330" bestFit="1" customWidth="1"/>
    <col min="11289" max="11289" width="10.140625" style="330" bestFit="1" customWidth="1"/>
    <col min="11290" max="11520" width="10.140625" style="330"/>
    <col min="11521" max="11521" width="6.5703125" style="330" customWidth="1"/>
    <col min="11522" max="11522" width="3.42578125" style="330" customWidth="1"/>
    <col min="11523" max="11523" width="70.5703125" style="330" customWidth="1"/>
    <col min="11524" max="11524" width="10.42578125" style="330" customWidth="1"/>
    <col min="11525" max="11525" width="7.42578125" style="330" customWidth="1"/>
    <col min="11526" max="11526" width="15.140625" style="330" customWidth="1"/>
    <col min="11527" max="11527" width="15.42578125" style="330" customWidth="1"/>
    <col min="11528" max="11528" width="15.5703125" style="330" customWidth="1"/>
    <col min="11529" max="11529" width="15.140625" style="330" customWidth="1"/>
    <col min="11530" max="11530" width="14.85546875" style="330" customWidth="1"/>
    <col min="11531" max="11531" width="12.5703125" style="330" customWidth="1"/>
    <col min="11532" max="11532" width="11.140625" style="330" customWidth="1"/>
    <col min="11533" max="11533" width="17.85546875" style="330" customWidth="1"/>
    <col min="11534" max="11534" width="7.42578125" style="330" customWidth="1"/>
    <col min="11535" max="11535" width="14.140625" style="330" customWidth="1"/>
    <col min="11536" max="11536" width="14" style="330" customWidth="1"/>
    <col min="11537" max="11537" width="20.140625" style="330" customWidth="1"/>
    <col min="11538" max="11538" width="16.42578125" style="330" customWidth="1"/>
    <col min="11539" max="11541" width="10.140625" style="330"/>
    <col min="11542" max="11544" width="10.42578125" style="330" bestFit="1" customWidth="1"/>
    <col min="11545" max="11545" width="10.140625" style="330" bestFit="1" customWidth="1"/>
    <col min="11546" max="11776" width="10.140625" style="330"/>
    <col min="11777" max="11777" width="6.5703125" style="330" customWidth="1"/>
    <col min="11778" max="11778" width="3.42578125" style="330" customWidth="1"/>
    <col min="11779" max="11779" width="70.5703125" style="330" customWidth="1"/>
    <col min="11780" max="11780" width="10.42578125" style="330" customWidth="1"/>
    <col min="11781" max="11781" width="7.42578125" style="330" customWidth="1"/>
    <col min="11782" max="11782" width="15.140625" style="330" customWidth="1"/>
    <col min="11783" max="11783" width="15.42578125" style="330" customWidth="1"/>
    <col min="11784" max="11784" width="15.5703125" style="330" customWidth="1"/>
    <col min="11785" max="11785" width="15.140625" style="330" customWidth="1"/>
    <col min="11786" max="11786" width="14.85546875" style="330" customWidth="1"/>
    <col min="11787" max="11787" width="12.5703125" style="330" customWidth="1"/>
    <col min="11788" max="11788" width="11.140625" style="330" customWidth="1"/>
    <col min="11789" max="11789" width="17.85546875" style="330" customWidth="1"/>
    <col min="11790" max="11790" width="7.42578125" style="330" customWidth="1"/>
    <col min="11791" max="11791" width="14.140625" style="330" customWidth="1"/>
    <col min="11792" max="11792" width="14" style="330" customWidth="1"/>
    <col min="11793" max="11793" width="20.140625" style="330" customWidth="1"/>
    <col min="11794" max="11794" width="16.42578125" style="330" customWidth="1"/>
    <col min="11795" max="11797" width="10.140625" style="330"/>
    <col min="11798" max="11800" width="10.42578125" style="330" bestFit="1" customWidth="1"/>
    <col min="11801" max="11801" width="10.140625" style="330" bestFit="1" customWidth="1"/>
    <col min="11802" max="12032" width="10.140625" style="330"/>
    <col min="12033" max="12033" width="6.5703125" style="330" customWidth="1"/>
    <col min="12034" max="12034" width="3.42578125" style="330" customWidth="1"/>
    <col min="12035" max="12035" width="70.5703125" style="330" customWidth="1"/>
    <col min="12036" max="12036" width="10.42578125" style="330" customWidth="1"/>
    <col min="12037" max="12037" width="7.42578125" style="330" customWidth="1"/>
    <col min="12038" max="12038" width="15.140625" style="330" customWidth="1"/>
    <col min="12039" max="12039" width="15.42578125" style="330" customWidth="1"/>
    <col min="12040" max="12040" width="15.5703125" style="330" customWidth="1"/>
    <col min="12041" max="12041" width="15.140625" style="330" customWidth="1"/>
    <col min="12042" max="12042" width="14.85546875" style="330" customWidth="1"/>
    <col min="12043" max="12043" width="12.5703125" style="330" customWidth="1"/>
    <col min="12044" max="12044" width="11.140625" style="330" customWidth="1"/>
    <col min="12045" max="12045" width="17.85546875" style="330" customWidth="1"/>
    <col min="12046" max="12046" width="7.42578125" style="330" customWidth="1"/>
    <col min="12047" max="12047" width="14.140625" style="330" customWidth="1"/>
    <col min="12048" max="12048" width="14" style="330" customWidth="1"/>
    <col min="12049" max="12049" width="20.140625" style="330" customWidth="1"/>
    <col min="12050" max="12050" width="16.42578125" style="330" customWidth="1"/>
    <col min="12051" max="12053" width="10.140625" style="330"/>
    <col min="12054" max="12056" width="10.42578125" style="330" bestFit="1" customWidth="1"/>
    <col min="12057" max="12057" width="10.140625" style="330" bestFit="1" customWidth="1"/>
    <col min="12058" max="12288" width="10.140625" style="330"/>
    <col min="12289" max="12289" width="6.5703125" style="330" customWidth="1"/>
    <col min="12290" max="12290" width="3.42578125" style="330" customWidth="1"/>
    <col min="12291" max="12291" width="70.5703125" style="330" customWidth="1"/>
    <col min="12292" max="12292" width="10.42578125" style="330" customWidth="1"/>
    <col min="12293" max="12293" width="7.42578125" style="330" customWidth="1"/>
    <col min="12294" max="12294" width="15.140625" style="330" customWidth="1"/>
    <col min="12295" max="12295" width="15.42578125" style="330" customWidth="1"/>
    <col min="12296" max="12296" width="15.5703125" style="330" customWidth="1"/>
    <col min="12297" max="12297" width="15.140625" style="330" customWidth="1"/>
    <col min="12298" max="12298" width="14.85546875" style="330" customWidth="1"/>
    <col min="12299" max="12299" width="12.5703125" style="330" customWidth="1"/>
    <col min="12300" max="12300" width="11.140625" style="330" customWidth="1"/>
    <col min="12301" max="12301" width="17.85546875" style="330" customWidth="1"/>
    <col min="12302" max="12302" width="7.42578125" style="330" customWidth="1"/>
    <col min="12303" max="12303" width="14.140625" style="330" customWidth="1"/>
    <col min="12304" max="12304" width="14" style="330" customWidth="1"/>
    <col min="12305" max="12305" width="20.140625" style="330" customWidth="1"/>
    <col min="12306" max="12306" width="16.42578125" style="330" customWidth="1"/>
    <col min="12307" max="12309" width="10.140625" style="330"/>
    <col min="12310" max="12312" width="10.42578125" style="330" bestFit="1" customWidth="1"/>
    <col min="12313" max="12313" width="10.140625" style="330" bestFit="1" customWidth="1"/>
    <col min="12314" max="12544" width="10.140625" style="330"/>
    <col min="12545" max="12545" width="6.5703125" style="330" customWidth="1"/>
    <col min="12546" max="12546" width="3.42578125" style="330" customWidth="1"/>
    <col min="12547" max="12547" width="70.5703125" style="330" customWidth="1"/>
    <col min="12548" max="12548" width="10.42578125" style="330" customWidth="1"/>
    <col min="12549" max="12549" width="7.42578125" style="330" customWidth="1"/>
    <col min="12550" max="12550" width="15.140625" style="330" customWidth="1"/>
    <col min="12551" max="12551" width="15.42578125" style="330" customWidth="1"/>
    <col min="12552" max="12552" width="15.5703125" style="330" customWidth="1"/>
    <col min="12553" max="12553" width="15.140625" style="330" customWidth="1"/>
    <col min="12554" max="12554" width="14.85546875" style="330" customWidth="1"/>
    <col min="12555" max="12555" width="12.5703125" style="330" customWidth="1"/>
    <col min="12556" max="12556" width="11.140625" style="330" customWidth="1"/>
    <col min="12557" max="12557" width="17.85546875" style="330" customWidth="1"/>
    <col min="12558" max="12558" width="7.42578125" style="330" customWidth="1"/>
    <col min="12559" max="12559" width="14.140625" style="330" customWidth="1"/>
    <col min="12560" max="12560" width="14" style="330" customWidth="1"/>
    <col min="12561" max="12561" width="20.140625" style="330" customWidth="1"/>
    <col min="12562" max="12562" width="16.42578125" style="330" customWidth="1"/>
    <col min="12563" max="12565" width="10.140625" style="330"/>
    <col min="12566" max="12568" width="10.42578125" style="330" bestFit="1" customWidth="1"/>
    <col min="12569" max="12569" width="10.140625" style="330" bestFit="1" customWidth="1"/>
    <col min="12570" max="12800" width="10.140625" style="330"/>
    <col min="12801" max="12801" width="6.5703125" style="330" customWidth="1"/>
    <col min="12802" max="12802" width="3.42578125" style="330" customWidth="1"/>
    <col min="12803" max="12803" width="70.5703125" style="330" customWidth="1"/>
    <col min="12804" max="12804" width="10.42578125" style="330" customWidth="1"/>
    <col min="12805" max="12805" width="7.42578125" style="330" customWidth="1"/>
    <col min="12806" max="12806" width="15.140625" style="330" customWidth="1"/>
    <col min="12807" max="12807" width="15.42578125" style="330" customWidth="1"/>
    <col min="12808" max="12808" width="15.5703125" style="330" customWidth="1"/>
    <col min="12809" max="12809" width="15.140625" style="330" customWidth="1"/>
    <col min="12810" max="12810" width="14.85546875" style="330" customWidth="1"/>
    <col min="12811" max="12811" width="12.5703125" style="330" customWidth="1"/>
    <col min="12812" max="12812" width="11.140625" style="330" customWidth="1"/>
    <col min="12813" max="12813" width="17.85546875" style="330" customWidth="1"/>
    <col min="12814" max="12814" width="7.42578125" style="330" customWidth="1"/>
    <col min="12815" max="12815" width="14.140625" style="330" customWidth="1"/>
    <col min="12816" max="12816" width="14" style="330" customWidth="1"/>
    <col min="12817" max="12817" width="20.140625" style="330" customWidth="1"/>
    <col min="12818" max="12818" width="16.42578125" style="330" customWidth="1"/>
    <col min="12819" max="12821" width="10.140625" style="330"/>
    <col min="12822" max="12824" width="10.42578125" style="330" bestFit="1" customWidth="1"/>
    <col min="12825" max="12825" width="10.140625" style="330" bestFit="1" customWidth="1"/>
    <col min="12826" max="13056" width="10.140625" style="330"/>
    <col min="13057" max="13057" width="6.5703125" style="330" customWidth="1"/>
    <col min="13058" max="13058" width="3.42578125" style="330" customWidth="1"/>
    <col min="13059" max="13059" width="70.5703125" style="330" customWidth="1"/>
    <col min="13060" max="13060" width="10.42578125" style="330" customWidth="1"/>
    <col min="13061" max="13061" width="7.42578125" style="330" customWidth="1"/>
    <col min="13062" max="13062" width="15.140625" style="330" customWidth="1"/>
    <col min="13063" max="13063" width="15.42578125" style="330" customWidth="1"/>
    <col min="13064" max="13064" width="15.5703125" style="330" customWidth="1"/>
    <col min="13065" max="13065" width="15.140625" style="330" customWidth="1"/>
    <col min="13066" max="13066" width="14.85546875" style="330" customWidth="1"/>
    <col min="13067" max="13067" width="12.5703125" style="330" customWidth="1"/>
    <col min="13068" max="13068" width="11.140625" style="330" customWidth="1"/>
    <col min="13069" max="13069" width="17.85546875" style="330" customWidth="1"/>
    <col min="13070" max="13070" width="7.42578125" style="330" customWidth="1"/>
    <col min="13071" max="13071" width="14.140625" style="330" customWidth="1"/>
    <col min="13072" max="13072" width="14" style="330" customWidth="1"/>
    <col min="13073" max="13073" width="20.140625" style="330" customWidth="1"/>
    <col min="13074" max="13074" width="16.42578125" style="330" customWidth="1"/>
    <col min="13075" max="13077" width="10.140625" style="330"/>
    <col min="13078" max="13080" width="10.42578125" style="330" bestFit="1" customWidth="1"/>
    <col min="13081" max="13081" width="10.140625" style="330" bestFit="1" customWidth="1"/>
    <col min="13082" max="13312" width="10.140625" style="330"/>
    <col min="13313" max="13313" width="6.5703125" style="330" customWidth="1"/>
    <col min="13314" max="13314" width="3.42578125" style="330" customWidth="1"/>
    <col min="13315" max="13315" width="70.5703125" style="330" customWidth="1"/>
    <col min="13316" max="13316" width="10.42578125" style="330" customWidth="1"/>
    <col min="13317" max="13317" width="7.42578125" style="330" customWidth="1"/>
    <col min="13318" max="13318" width="15.140625" style="330" customWidth="1"/>
    <col min="13319" max="13319" width="15.42578125" style="330" customWidth="1"/>
    <col min="13320" max="13320" width="15.5703125" style="330" customWidth="1"/>
    <col min="13321" max="13321" width="15.140625" style="330" customWidth="1"/>
    <col min="13322" max="13322" width="14.85546875" style="330" customWidth="1"/>
    <col min="13323" max="13323" width="12.5703125" style="330" customWidth="1"/>
    <col min="13324" max="13324" width="11.140625" style="330" customWidth="1"/>
    <col min="13325" max="13325" width="17.85546875" style="330" customWidth="1"/>
    <col min="13326" max="13326" width="7.42578125" style="330" customWidth="1"/>
    <col min="13327" max="13327" width="14.140625" style="330" customWidth="1"/>
    <col min="13328" max="13328" width="14" style="330" customWidth="1"/>
    <col min="13329" max="13329" width="20.140625" style="330" customWidth="1"/>
    <col min="13330" max="13330" width="16.42578125" style="330" customWidth="1"/>
    <col min="13331" max="13333" width="10.140625" style="330"/>
    <col min="13334" max="13336" width="10.42578125" style="330" bestFit="1" customWidth="1"/>
    <col min="13337" max="13337" width="10.140625" style="330" bestFit="1" customWidth="1"/>
    <col min="13338" max="13568" width="10.140625" style="330"/>
    <col min="13569" max="13569" width="6.5703125" style="330" customWidth="1"/>
    <col min="13570" max="13570" width="3.42578125" style="330" customWidth="1"/>
    <col min="13571" max="13571" width="70.5703125" style="330" customWidth="1"/>
    <col min="13572" max="13572" width="10.42578125" style="330" customWidth="1"/>
    <col min="13573" max="13573" width="7.42578125" style="330" customWidth="1"/>
    <col min="13574" max="13574" width="15.140625" style="330" customWidth="1"/>
    <col min="13575" max="13575" width="15.42578125" style="330" customWidth="1"/>
    <col min="13576" max="13576" width="15.5703125" style="330" customWidth="1"/>
    <col min="13577" max="13577" width="15.140625" style="330" customWidth="1"/>
    <col min="13578" max="13578" width="14.85546875" style="330" customWidth="1"/>
    <col min="13579" max="13579" width="12.5703125" style="330" customWidth="1"/>
    <col min="13580" max="13580" width="11.140625" style="330" customWidth="1"/>
    <col min="13581" max="13581" width="17.85546875" style="330" customWidth="1"/>
    <col min="13582" max="13582" width="7.42578125" style="330" customWidth="1"/>
    <col min="13583" max="13583" width="14.140625" style="330" customWidth="1"/>
    <col min="13584" max="13584" width="14" style="330" customWidth="1"/>
    <col min="13585" max="13585" width="20.140625" style="330" customWidth="1"/>
    <col min="13586" max="13586" width="16.42578125" style="330" customWidth="1"/>
    <col min="13587" max="13589" width="10.140625" style="330"/>
    <col min="13590" max="13592" width="10.42578125" style="330" bestFit="1" customWidth="1"/>
    <col min="13593" max="13593" width="10.140625" style="330" bestFit="1" customWidth="1"/>
    <col min="13594" max="13824" width="10.140625" style="330"/>
    <col min="13825" max="13825" width="6.5703125" style="330" customWidth="1"/>
    <col min="13826" max="13826" width="3.42578125" style="330" customWidth="1"/>
    <col min="13827" max="13827" width="70.5703125" style="330" customWidth="1"/>
    <col min="13828" max="13828" width="10.42578125" style="330" customWidth="1"/>
    <col min="13829" max="13829" width="7.42578125" style="330" customWidth="1"/>
    <col min="13830" max="13830" width="15.140625" style="330" customWidth="1"/>
    <col min="13831" max="13831" width="15.42578125" style="330" customWidth="1"/>
    <col min="13832" max="13832" width="15.5703125" style="330" customWidth="1"/>
    <col min="13833" max="13833" width="15.140625" style="330" customWidth="1"/>
    <col min="13834" max="13834" width="14.85546875" style="330" customWidth="1"/>
    <col min="13835" max="13835" width="12.5703125" style="330" customWidth="1"/>
    <col min="13836" max="13836" width="11.140625" style="330" customWidth="1"/>
    <col min="13837" max="13837" width="17.85546875" style="330" customWidth="1"/>
    <col min="13838" max="13838" width="7.42578125" style="330" customWidth="1"/>
    <col min="13839" max="13839" width="14.140625" style="330" customWidth="1"/>
    <col min="13840" max="13840" width="14" style="330" customWidth="1"/>
    <col min="13841" max="13841" width="20.140625" style="330" customWidth="1"/>
    <col min="13842" max="13842" width="16.42578125" style="330" customWidth="1"/>
    <col min="13843" max="13845" width="10.140625" style="330"/>
    <col min="13846" max="13848" width="10.42578125" style="330" bestFit="1" customWidth="1"/>
    <col min="13849" max="13849" width="10.140625" style="330" bestFit="1" customWidth="1"/>
    <col min="13850" max="14080" width="10.140625" style="330"/>
    <col min="14081" max="14081" width="6.5703125" style="330" customWidth="1"/>
    <col min="14082" max="14082" width="3.42578125" style="330" customWidth="1"/>
    <col min="14083" max="14083" width="70.5703125" style="330" customWidth="1"/>
    <col min="14084" max="14084" width="10.42578125" style="330" customWidth="1"/>
    <col min="14085" max="14085" width="7.42578125" style="330" customWidth="1"/>
    <col min="14086" max="14086" width="15.140625" style="330" customWidth="1"/>
    <col min="14087" max="14087" width="15.42578125" style="330" customWidth="1"/>
    <col min="14088" max="14088" width="15.5703125" style="330" customWidth="1"/>
    <col min="14089" max="14089" width="15.140625" style="330" customWidth="1"/>
    <col min="14090" max="14090" width="14.85546875" style="330" customWidth="1"/>
    <col min="14091" max="14091" width="12.5703125" style="330" customWidth="1"/>
    <col min="14092" max="14092" width="11.140625" style="330" customWidth="1"/>
    <col min="14093" max="14093" width="17.85546875" style="330" customWidth="1"/>
    <col min="14094" max="14094" width="7.42578125" style="330" customWidth="1"/>
    <col min="14095" max="14095" width="14.140625" style="330" customWidth="1"/>
    <col min="14096" max="14096" width="14" style="330" customWidth="1"/>
    <col min="14097" max="14097" width="20.140625" style="330" customWidth="1"/>
    <col min="14098" max="14098" width="16.42578125" style="330" customWidth="1"/>
    <col min="14099" max="14101" width="10.140625" style="330"/>
    <col min="14102" max="14104" width="10.42578125" style="330" bestFit="1" customWidth="1"/>
    <col min="14105" max="14105" width="10.140625" style="330" bestFit="1" customWidth="1"/>
    <col min="14106" max="14336" width="10.140625" style="330"/>
    <col min="14337" max="14337" width="6.5703125" style="330" customWidth="1"/>
    <col min="14338" max="14338" width="3.42578125" style="330" customWidth="1"/>
    <col min="14339" max="14339" width="70.5703125" style="330" customWidth="1"/>
    <col min="14340" max="14340" width="10.42578125" style="330" customWidth="1"/>
    <col min="14341" max="14341" width="7.42578125" style="330" customWidth="1"/>
    <col min="14342" max="14342" width="15.140625" style="330" customWidth="1"/>
    <col min="14343" max="14343" width="15.42578125" style="330" customWidth="1"/>
    <col min="14344" max="14344" width="15.5703125" style="330" customWidth="1"/>
    <col min="14345" max="14345" width="15.140625" style="330" customWidth="1"/>
    <col min="14346" max="14346" width="14.85546875" style="330" customWidth="1"/>
    <col min="14347" max="14347" width="12.5703125" style="330" customWidth="1"/>
    <col min="14348" max="14348" width="11.140625" style="330" customWidth="1"/>
    <col min="14349" max="14349" width="17.85546875" style="330" customWidth="1"/>
    <col min="14350" max="14350" width="7.42578125" style="330" customWidth="1"/>
    <col min="14351" max="14351" width="14.140625" style="330" customWidth="1"/>
    <col min="14352" max="14352" width="14" style="330" customWidth="1"/>
    <col min="14353" max="14353" width="20.140625" style="330" customWidth="1"/>
    <col min="14354" max="14354" width="16.42578125" style="330" customWidth="1"/>
    <col min="14355" max="14357" width="10.140625" style="330"/>
    <col min="14358" max="14360" width="10.42578125" style="330" bestFit="1" customWidth="1"/>
    <col min="14361" max="14361" width="10.140625" style="330" bestFit="1" customWidth="1"/>
    <col min="14362" max="14592" width="10.140625" style="330"/>
    <col min="14593" max="14593" width="6.5703125" style="330" customWidth="1"/>
    <col min="14594" max="14594" width="3.42578125" style="330" customWidth="1"/>
    <col min="14595" max="14595" width="70.5703125" style="330" customWidth="1"/>
    <col min="14596" max="14596" width="10.42578125" style="330" customWidth="1"/>
    <col min="14597" max="14597" width="7.42578125" style="330" customWidth="1"/>
    <col min="14598" max="14598" width="15.140625" style="330" customWidth="1"/>
    <col min="14599" max="14599" width="15.42578125" style="330" customWidth="1"/>
    <col min="14600" max="14600" width="15.5703125" style="330" customWidth="1"/>
    <col min="14601" max="14601" width="15.140625" style="330" customWidth="1"/>
    <col min="14602" max="14602" width="14.85546875" style="330" customWidth="1"/>
    <col min="14603" max="14603" width="12.5703125" style="330" customWidth="1"/>
    <col min="14604" max="14604" width="11.140625" style="330" customWidth="1"/>
    <col min="14605" max="14605" width="17.85546875" style="330" customWidth="1"/>
    <col min="14606" max="14606" width="7.42578125" style="330" customWidth="1"/>
    <col min="14607" max="14607" width="14.140625" style="330" customWidth="1"/>
    <col min="14608" max="14608" width="14" style="330" customWidth="1"/>
    <col min="14609" max="14609" width="20.140625" style="330" customWidth="1"/>
    <col min="14610" max="14610" width="16.42578125" style="330" customWidth="1"/>
    <col min="14611" max="14613" width="10.140625" style="330"/>
    <col min="14614" max="14616" width="10.42578125" style="330" bestFit="1" customWidth="1"/>
    <col min="14617" max="14617" width="10.140625" style="330" bestFit="1" customWidth="1"/>
    <col min="14618" max="14848" width="10.140625" style="330"/>
    <col min="14849" max="14849" width="6.5703125" style="330" customWidth="1"/>
    <col min="14850" max="14850" width="3.42578125" style="330" customWidth="1"/>
    <col min="14851" max="14851" width="70.5703125" style="330" customWidth="1"/>
    <col min="14852" max="14852" width="10.42578125" style="330" customWidth="1"/>
    <col min="14853" max="14853" width="7.42578125" style="330" customWidth="1"/>
    <col min="14854" max="14854" width="15.140625" style="330" customWidth="1"/>
    <col min="14855" max="14855" width="15.42578125" style="330" customWidth="1"/>
    <col min="14856" max="14856" width="15.5703125" style="330" customWidth="1"/>
    <col min="14857" max="14857" width="15.140625" style="330" customWidth="1"/>
    <col min="14858" max="14858" width="14.85546875" style="330" customWidth="1"/>
    <col min="14859" max="14859" width="12.5703125" style="330" customWidth="1"/>
    <col min="14860" max="14860" width="11.140625" style="330" customWidth="1"/>
    <col min="14861" max="14861" width="17.85546875" style="330" customWidth="1"/>
    <col min="14862" max="14862" width="7.42578125" style="330" customWidth="1"/>
    <col min="14863" max="14863" width="14.140625" style="330" customWidth="1"/>
    <col min="14864" max="14864" width="14" style="330" customWidth="1"/>
    <col min="14865" max="14865" width="20.140625" style="330" customWidth="1"/>
    <col min="14866" max="14866" width="16.42578125" style="330" customWidth="1"/>
    <col min="14867" max="14869" width="10.140625" style="330"/>
    <col min="14870" max="14872" width="10.42578125" style="330" bestFit="1" customWidth="1"/>
    <col min="14873" max="14873" width="10.140625" style="330" bestFit="1" customWidth="1"/>
    <col min="14874" max="15104" width="10.140625" style="330"/>
    <col min="15105" max="15105" width="6.5703125" style="330" customWidth="1"/>
    <col min="15106" max="15106" width="3.42578125" style="330" customWidth="1"/>
    <col min="15107" max="15107" width="70.5703125" style="330" customWidth="1"/>
    <col min="15108" max="15108" width="10.42578125" style="330" customWidth="1"/>
    <col min="15109" max="15109" width="7.42578125" style="330" customWidth="1"/>
    <col min="15110" max="15110" width="15.140625" style="330" customWidth="1"/>
    <col min="15111" max="15111" width="15.42578125" style="330" customWidth="1"/>
    <col min="15112" max="15112" width="15.5703125" style="330" customWidth="1"/>
    <col min="15113" max="15113" width="15.140625" style="330" customWidth="1"/>
    <col min="15114" max="15114" width="14.85546875" style="330" customWidth="1"/>
    <col min="15115" max="15115" width="12.5703125" style="330" customWidth="1"/>
    <col min="15116" max="15116" width="11.140625" style="330" customWidth="1"/>
    <col min="15117" max="15117" width="17.85546875" style="330" customWidth="1"/>
    <col min="15118" max="15118" width="7.42578125" style="330" customWidth="1"/>
    <col min="15119" max="15119" width="14.140625" style="330" customWidth="1"/>
    <col min="15120" max="15120" width="14" style="330" customWidth="1"/>
    <col min="15121" max="15121" width="20.140625" style="330" customWidth="1"/>
    <col min="15122" max="15122" width="16.42578125" style="330" customWidth="1"/>
    <col min="15123" max="15125" width="10.140625" style="330"/>
    <col min="15126" max="15128" width="10.42578125" style="330" bestFit="1" customWidth="1"/>
    <col min="15129" max="15129" width="10.140625" style="330" bestFit="1" customWidth="1"/>
    <col min="15130" max="15360" width="10.140625" style="330"/>
    <col min="15361" max="15361" width="6.5703125" style="330" customWidth="1"/>
    <col min="15362" max="15362" width="3.42578125" style="330" customWidth="1"/>
    <col min="15363" max="15363" width="70.5703125" style="330" customWidth="1"/>
    <col min="15364" max="15364" width="10.42578125" style="330" customWidth="1"/>
    <col min="15365" max="15365" width="7.42578125" style="330" customWidth="1"/>
    <col min="15366" max="15366" width="15.140625" style="330" customWidth="1"/>
    <col min="15367" max="15367" width="15.42578125" style="330" customWidth="1"/>
    <col min="15368" max="15368" width="15.5703125" style="330" customWidth="1"/>
    <col min="15369" max="15369" width="15.140625" style="330" customWidth="1"/>
    <col min="15370" max="15370" width="14.85546875" style="330" customWidth="1"/>
    <col min="15371" max="15371" width="12.5703125" style="330" customWidth="1"/>
    <col min="15372" max="15372" width="11.140625" style="330" customWidth="1"/>
    <col min="15373" max="15373" width="17.85546875" style="330" customWidth="1"/>
    <col min="15374" max="15374" width="7.42578125" style="330" customWidth="1"/>
    <col min="15375" max="15375" width="14.140625" style="330" customWidth="1"/>
    <col min="15376" max="15376" width="14" style="330" customWidth="1"/>
    <col min="15377" max="15377" width="20.140625" style="330" customWidth="1"/>
    <col min="15378" max="15378" width="16.42578125" style="330" customWidth="1"/>
    <col min="15379" max="15381" width="10.140625" style="330"/>
    <col min="15382" max="15384" width="10.42578125" style="330" bestFit="1" customWidth="1"/>
    <col min="15385" max="15385" width="10.140625" style="330" bestFit="1" customWidth="1"/>
    <col min="15386" max="15616" width="10.140625" style="330"/>
    <col min="15617" max="15617" width="6.5703125" style="330" customWidth="1"/>
    <col min="15618" max="15618" width="3.42578125" style="330" customWidth="1"/>
    <col min="15619" max="15619" width="70.5703125" style="330" customWidth="1"/>
    <col min="15620" max="15620" width="10.42578125" style="330" customWidth="1"/>
    <col min="15621" max="15621" width="7.42578125" style="330" customWidth="1"/>
    <col min="15622" max="15622" width="15.140625" style="330" customWidth="1"/>
    <col min="15623" max="15623" width="15.42578125" style="330" customWidth="1"/>
    <col min="15624" max="15624" width="15.5703125" style="330" customWidth="1"/>
    <col min="15625" max="15625" width="15.140625" style="330" customWidth="1"/>
    <col min="15626" max="15626" width="14.85546875" style="330" customWidth="1"/>
    <col min="15627" max="15627" width="12.5703125" style="330" customWidth="1"/>
    <col min="15628" max="15628" width="11.140625" style="330" customWidth="1"/>
    <col min="15629" max="15629" width="17.85546875" style="330" customWidth="1"/>
    <col min="15630" max="15630" width="7.42578125" style="330" customWidth="1"/>
    <col min="15631" max="15631" width="14.140625" style="330" customWidth="1"/>
    <col min="15632" max="15632" width="14" style="330" customWidth="1"/>
    <col min="15633" max="15633" width="20.140625" style="330" customWidth="1"/>
    <col min="15634" max="15634" width="16.42578125" style="330" customWidth="1"/>
    <col min="15635" max="15637" width="10.140625" style="330"/>
    <col min="15638" max="15640" width="10.42578125" style="330" bestFit="1" customWidth="1"/>
    <col min="15641" max="15641" width="10.140625" style="330" bestFit="1" customWidth="1"/>
    <col min="15642" max="15872" width="10.140625" style="330"/>
    <col min="15873" max="15873" width="6.5703125" style="330" customWidth="1"/>
    <col min="15874" max="15874" width="3.42578125" style="330" customWidth="1"/>
    <col min="15875" max="15875" width="70.5703125" style="330" customWidth="1"/>
    <col min="15876" max="15876" width="10.42578125" style="330" customWidth="1"/>
    <col min="15877" max="15877" width="7.42578125" style="330" customWidth="1"/>
    <col min="15878" max="15878" width="15.140625" style="330" customWidth="1"/>
    <col min="15879" max="15879" width="15.42578125" style="330" customWidth="1"/>
    <col min="15880" max="15880" width="15.5703125" style="330" customWidth="1"/>
    <col min="15881" max="15881" width="15.140625" style="330" customWidth="1"/>
    <col min="15882" max="15882" width="14.85546875" style="330" customWidth="1"/>
    <col min="15883" max="15883" width="12.5703125" style="330" customWidth="1"/>
    <col min="15884" max="15884" width="11.140625" style="330" customWidth="1"/>
    <col min="15885" max="15885" width="17.85546875" style="330" customWidth="1"/>
    <col min="15886" max="15886" width="7.42578125" style="330" customWidth="1"/>
    <col min="15887" max="15887" width="14.140625" style="330" customWidth="1"/>
    <col min="15888" max="15888" width="14" style="330" customWidth="1"/>
    <col min="15889" max="15889" width="20.140625" style="330" customWidth="1"/>
    <col min="15890" max="15890" width="16.42578125" style="330" customWidth="1"/>
    <col min="15891" max="15893" width="10.140625" style="330"/>
    <col min="15894" max="15896" width="10.42578125" style="330" bestFit="1" customWidth="1"/>
    <col min="15897" max="15897" width="10.140625" style="330" bestFit="1" customWidth="1"/>
    <col min="15898" max="16128" width="10.140625" style="330"/>
    <col min="16129" max="16129" width="6.5703125" style="330" customWidth="1"/>
    <col min="16130" max="16130" width="3.42578125" style="330" customWidth="1"/>
    <col min="16131" max="16131" width="70.5703125" style="330" customWidth="1"/>
    <col min="16132" max="16132" width="10.42578125" style="330" customWidth="1"/>
    <col min="16133" max="16133" width="7.42578125" style="330" customWidth="1"/>
    <col min="16134" max="16134" width="15.140625" style="330" customWidth="1"/>
    <col min="16135" max="16135" width="15.42578125" style="330" customWidth="1"/>
    <col min="16136" max="16136" width="15.5703125" style="330" customWidth="1"/>
    <col min="16137" max="16137" width="15.140625" style="330" customWidth="1"/>
    <col min="16138" max="16138" width="14.85546875" style="330" customWidth="1"/>
    <col min="16139" max="16139" width="12.5703125" style="330" customWidth="1"/>
    <col min="16140" max="16140" width="11.140625" style="330" customWidth="1"/>
    <col min="16141" max="16141" width="17.85546875" style="330" customWidth="1"/>
    <col min="16142" max="16142" width="7.42578125" style="330" customWidth="1"/>
    <col min="16143" max="16143" width="14.140625" style="330" customWidth="1"/>
    <col min="16144" max="16144" width="14" style="330" customWidth="1"/>
    <col min="16145" max="16145" width="20.140625" style="330" customWidth="1"/>
    <col min="16146" max="16146" width="16.42578125" style="330" customWidth="1"/>
    <col min="16147" max="16149" width="10.140625" style="330"/>
    <col min="16150" max="16152" width="10.42578125" style="330" bestFit="1" customWidth="1"/>
    <col min="16153" max="16153" width="10.140625" style="330" bestFit="1" customWidth="1"/>
    <col min="16154" max="16384" width="10.140625" style="330"/>
  </cols>
  <sheetData>
    <row r="1" spans="1:17" s="1" customFormat="1">
      <c r="A1" s="68" t="s">
        <v>401</v>
      </c>
      <c r="B1" s="68"/>
      <c r="C1" s="68" t="str">
        <f ca="1">'1.1.ST'!C1</f>
        <v>งานออกแบบและก่อสร้าง  กองอาคารและสถานที่ มหาวิทยาลัยขอนแก่น</v>
      </c>
      <c r="D1" s="68"/>
      <c r="E1" s="68"/>
      <c r="F1" s="68"/>
      <c r="G1" s="68"/>
      <c r="H1" s="68"/>
      <c r="I1" s="68" t="s">
        <v>43</v>
      </c>
      <c r="J1" s="68" t="s">
        <v>44</v>
      </c>
      <c r="K1" s="68"/>
    </row>
    <row r="2" spans="1:17" s="1" customFormat="1">
      <c r="A2" s="634" t="str">
        <f>' ปร.6'!A3</f>
        <v>ชื่อโครง  โครงการปรับปรุงห้องปฏิบัติการเคมี อาคาร sc.04 คณะวิทยาศาสตร์</v>
      </c>
      <c r="B2" s="634"/>
      <c r="C2" s="634"/>
      <c r="D2" s="68"/>
      <c r="E2" s="68"/>
      <c r="F2" s="68"/>
      <c r="G2" s="68"/>
      <c r="H2" s="68"/>
      <c r="I2" s="68"/>
      <c r="J2" s="68"/>
      <c r="K2" s="68"/>
    </row>
    <row r="3" spans="1:17" s="1" customFormat="1">
      <c r="A3" s="68" t="s">
        <v>88</v>
      </c>
      <c r="B3" s="68"/>
      <c r="C3" s="519" t="s">
        <v>54</v>
      </c>
      <c r="D3" s="68" t="s">
        <v>6</v>
      </c>
      <c r="E3" s="68"/>
      <c r="F3" s="68"/>
      <c r="G3" s="68"/>
      <c r="H3" s="68" t="s">
        <v>45</v>
      </c>
      <c r="I3" s="68"/>
      <c r="J3" s="68"/>
      <c r="K3" s="68"/>
    </row>
    <row r="4" spans="1:17" s="1" customFormat="1">
      <c r="A4" s="68" t="s">
        <v>46</v>
      </c>
      <c r="B4" s="68"/>
      <c r="C4" s="519" t="str">
        <f ca="1">'1.1.ST'!C4</f>
        <v>งานออกแบบและก่อสร้าง</v>
      </c>
      <c r="D4" s="68" t="s">
        <v>47</v>
      </c>
      <c r="E4" s="68" t="s">
        <v>61</v>
      </c>
      <c r="F4" s="68"/>
      <c r="G4" s="68"/>
      <c r="H4" s="68" t="s">
        <v>48</v>
      </c>
      <c r="I4" s="68"/>
      <c r="J4" s="68"/>
      <c r="K4" s="68"/>
    </row>
    <row r="5" spans="1:17" s="1" customFormat="1">
      <c r="A5" s="68" t="s">
        <v>182</v>
      </c>
      <c r="B5" s="68"/>
      <c r="C5" s="519"/>
      <c r="D5" s="68"/>
      <c r="E5" s="68"/>
      <c r="F5" s="68"/>
      <c r="G5" s="68"/>
      <c r="H5" s="69" t="s">
        <v>52</v>
      </c>
      <c r="I5" s="661"/>
      <c r="J5" s="661"/>
      <c r="K5" s="68" t="s">
        <v>22</v>
      </c>
    </row>
    <row r="6" spans="1:17" s="2" customFormat="1" ht="22.5" customHeight="1" thickBot="1">
      <c r="A6" s="6"/>
      <c r="B6" s="6"/>
      <c r="C6" s="7"/>
      <c r="D6" s="8"/>
      <c r="E6" s="8"/>
      <c r="F6" s="70"/>
      <c r="G6" s="71"/>
      <c r="H6" s="71"/>
      <c r="I6" s="70"/>
      <c r="J6" s="70"/>
      <c r="K6" s="7"/>
    </row>
    <row r="7" spans="1:17" s="2" customFormat="1">
      <c r="A7" s="72" t="s">
        <v>49</v>
      </c>
      <c r="B7" s="73" t="s">
        <v>1</v>
      </c>
      <c r="C7" s="73"/>
      <c r="D7" s="74" t="s">
        <v>2</v>
      </c>
      <c r="E7" s="74" t="s">
        <v>3</v>
      </c>
      <c r="F7" s="302" t="s">
        <v>23</v>
      </c>
      <c r="G7" s="303"/>
      <c r="H7" s="302" t="s">
        <v>4</v>
      </c>
      <c r="I7" s="303"/>
      <c r="J7" s="235" t="s">
        <v>50</v>
      </c>
      <c r="K7" s="75" t="s">
        <v>5</v>
      </c>
      <c r="L7" s="304"/>
      <c r="M7" s="304"/>
      <c r="N7" s="304"/>
      <c r="O7" s="305"/>
      <c r="P7" s="305"/>
      <c r="Q7" s="304"/>
    </row>
    <row r="8" spans="1:17" s="2" customFormat="1" ht="22.5" thickBot="1">
      <c r="A8" s="76"/>
      <c r="B8" s="77"/>
      <c r="C8" s="78"/>
      <c r="D8" s="79"/>
      <c r="E8" s="79"/>
      <c r="F8" s="239" t="s">
        <v>51</v>
      </c>
      <c r="G8" s="239" t="s">
        <v>13</v>
      </c>
      <c r="H8" s="239" t="s">
        <v>51</v>
      </c>
      <c r="I8" s="239" t="s">
        <v>13</v>
      </c>
      <c r="J8" s="306"/>
      <c r="K8" s="80"/>
      <c r="L8" s="307"/>
      <c r="M8" s="307"/>
      <c r="N8" s="307"/>
      <c r="O8" s="308"/>
      <c r="P8" s="308"/>
      <c r="Q8" s="307"/>
    </row>
    <row r="9" spans="1:17" s="315" customFormat="1">
      <c r="A9" s="309"/>
      <c r="B9" s="310" t="s">
        <v>77</v>
      </c>
      <c r="C9" s="311"/>
      <c r="D9" s="312"/>
      <c r="E9" s="312"/>
      <c r="F9" s="313"/>
      <c r="G9" s="313"/>
      <c r="H9" s="313"/>
      <c r="I9" s="313"/>
      <c r="J9" s="314"/>
      <c r="K9" s="314"/>
    </row>
    <row r="10" spans="1:17" s="322" customFormat="1">
      <c r="A10" s="316"/>
      <c r="B10" s="317" t="s">
        <v>78</v>
      </c>
      <c r="C10" s="318"/>
      <c r="D10" s="319"/>
      <c r="E10" s="319"/>
      <c r="F10" s="320"/>
      <c r="G10" s="320"/>
      <c r="H10" s="320"/>
      <c r="I10" s="320"/>
      <c r="J10" s="321"/>
      <c r="K10" s="321"/>
    </row>
    <row r="11" spans="1:17" s="329" customFormat="1" ht="23.1" customHeight="1">
      <c r="A11" s="323">
        <v>1</v>
      </c>
      <c r="B11" s="324" t="s">
        <v>178</v>
      </c>
      <c r="C11" s="325"/>
      <c r="D11" s="326"/>
      <c r="E11" s="323"/>
      <c r="F11" s="327"/>
      <c r="G11" s="327"/>
      <c r="H11" s="327"/>
      <c r="I11" s="327"/>
      <c r="J11" s="328"/>
      <c r="K11" s="328"/>
    </row>
    <row r="12" spans="1:17" s="420" customFormat="1" ht="23.1" customHeight="1">
      <c r="A12" s="496">
        <v>1</v>
      </c>
      <c r="B12" s="662" t="s">
        <v>402</v>
      </c>
      <c r="C12" s="663"/>
      <c r="D12" s="498"/>
      <c r="E12" s="496"/>
      <c r="F12" s="499"/>
      <c r="G12" s="499"/>
      <c r="H12" s="499"/>
      <c r="I12" s="499"/>
      <c r="J12" s="500"/>
      <c r="K12" s="500"/>
    </row>
    <row r="13" spans="1:17" s="420" customFormat="1" ht="23.1" customHeight="1">
      <c r="A13" s="501">
        <v>1.1000000000000001</v>
      </c>
      <c r="B13" s="497" t="s">
        <v>403</v>
      </c>
      <c r="C13" s="502"/>
      <c r="D13" s="503"/>
      <c r="E13" s="501"/>
      <c r="F13" s="504"/>
      <c r="G13" s="505"/>
      <c r="H13" s="506"/>
      <c r="I13" s="505"/>
      <c r="J13" s="507"/>
      <c r="K13" s="508"/>
      <c r="M13" s="420">
        <v>2680</v>
      </c>
      <c r="N13" s="420">
        <f>M13*0.05</f>
        <v>134</v>
      </c>
      <c r="O13" s="420">
        <v>20</v>
      </c>
    </row>
    <row r="14" spans="1:17" s="3" customFormat="1" ht="23.1" customHeight="1">
      <c r="A14" s="467">
        <v>1.2</v>
      </c>
      <c r="B14" s="475" t="s">
        <v>404</v>
      </c>
      <c r="C14" s="468"/>
      <c r="D14" s="469">
        <v>28</v>
      </c>
      <c r="E14" s="467" t="s">
        <v>62</v>
      </c>
      <c r="F14" s="470">
        <v>0</v>
      </c>
      <c r="G14" s="471">
        <f>F14*D14</f>
        <v>0</v>
      </c>
      <c r="H14" s="472">
        <v>50</v>
      </c>
      <c r="I14" s="471">
        <f>H14*D14</f>
        <v>1400</v>
      </c>
      <c r="J14" s="473">
        <f>G14+I14</f>
        <v>1400</v>
      </c>
      <c r="K14" s="474"/>
      <c r="M14" s="3">
        <f>8.7</f>
        <v>8.6999999999999993</v>
      </c>
      <c r="N14" s="3">
        <f>8.7*8*0.4</f>
        <v>27.84</v>
      </c>
      <c r="O14" s="3">
        <v>20</v>
      </c>
      <c r="Q14" s="3">
        <f>277*0.05*1.05</f>
        <v>14.542500000000002</v>
      </c>
    </row>
    <row r="15" spans="1:17" s="3" customFormat="1" ht="23.1" customHeight="1">
      <c r="A15" s="467">
        <v>1.3</v>
      </c>
      <c r="B15" s="475" t="s">
        <v>405</v>
      </c>
      <c r="C15" s="468"/>
      <c r="D15" s="469">
        <v>28</v>
      </c>
      <c r="E15" s="467" t="s">
        <v>62</v>
      </c>
      <c r="F15" s="470">
        <v>265</v>
      </c>
      <c r="G15" s="471">
        <f>F15*D15</f>
        <v>7420</v>
      </c>
      <c r="H15" s="472">
        <v>120</v>
      </c>
      <c r="I15" s="471">
        <f>H15*D15</f>
        <v>3360</v>
      </c>
      <c r="J15" s="473">
        <f>G15+I15</f>
        <v>10780</v>
      </c>
      <c r="K15" s="474"/>
      <c r="M15" s="3">
        <f>173*1.1</f>
        <v>190.3</v>
      </c>
      <c r="N15" s="3">
        <f>155+95</f>
        <v>250</v>
      </c>
      <c r="O15" s="3">
        <v>20</v>
      </c>
      <c r="Q15" s="3">
        <f>277*0.05*1.05</f>
        <v>14.542500000000002</v>
      </c>
    </row>
    <row r="16" spans="1:17" s="3" customFormat="1" ht="23.1" customHeight="1">
      <c r="A16" s="467">
        <v>1.4</v>
      </c>
      <c r="B16" s="475" t="s">
        <v>406</v>
      </c>
      <c r="C16" s="468"/>
      <c r="D16" s="469">
        <v>70</v>
      </c>
      <c r="E16" s="467" t="s">
        <v>95</v>
      </c>
      <c r="F16" s="470">
        <v>280</v>
      </c>
      <c r="G16" s="471">
        <f>F16*D16</f>
        <v>19600</v>
      </c>
      <c r="H16" s="472">
        <v>100</v>
      </c>
      <c r="I16" s="471">
        <f>H16*D16</f>
        <v>7000</v>
      </c>
      <c r="J16" s="473">
        <f>G16+I16</f>
        <v>26600</v>
      </c>
      <c r="K16" s="474"/>
      <c r="M16" s="3">
        <v>8.8000000000000007</v>
      </c>
      <c r="N16" s="3">
        <f>M16*8</f>
        <v>70.400000000000006</v>
      </c>
    </row>
    <row r="17" spans="1:19" s="420" customFormat="1" ht="23.1" customHeight="1">
      <c r="A17" s="550"/>
      <c r="B17" s="551"/>
      <c r="C17" s="552"/>
      <c r="D17" s="553"/>
      <c r="E17" s="550"/>
      <c r="F17" s="554"/>
      <c r="G17" s="555">
        <f>SUM(G14:G16)</f>
        <v>27020</v>
      </c>
      <c r="H17" s="556"/>
      <c r="I17" s="555">
        <f>SUM(I14:I16)</f>
        <v>11760</v>
      </c>
      <c r="J17" s="557">
        <f>SUM(J14:J16)</f>
        <v>38780</v>
      </c>
      <c r="K17" s="558"/>
      <c r="M17" s="420">
        <f>D17/3</f>
        <v>0</v>
      </c>
    </row>
    <row r="18" spans="1:19" s="3" customFormat="1" ht="23.1" customHeight="1">
      <c r="A18" s="568">
        <v>1.5</v>
      </c>
      <c r="B18" s="569" t="s">
        <v>407</v>
      </c>
      <c r="C18" s="570"/>
      <c r="D18" s="571"/>
      <c r="E18" s="568"/>
      <c r="F18" s="572"/>
      <c r="G18" s="573"/>
      <c r="H18" s="574"/>
      <c r="I18" s="573"/>
      <c r="J18" s="575"/>
      <c r="K18" s="576"/>
      <c r="M18" s="3">
        <f>203*0.3*0.05*2</f>
        <v>6.09</v>
      </c>
      <c r="Q18" s="3">
        <v>277</v>
      </c>
      <c r="R18" s="3">
        <v>66</v>
      </c>
      <c r="S18" s="3">
        <f>285*1.1</f>
        <v>313.5</v>
      </c>
    </row>
    <row r="19" spans="1:19" s="3" customFormat="1" ht="23.1" customHeight="1">
      <c r="A19" s="577">
        <v>1.6</v>
      </c>
      <c r="B19" s="578" t="s">
        <v>408</v>
      </c>
      <c r="C19" s="579"/>
      <c r="D19" s="580">
        <v>4</v>
      </c>
      <c r="E19" s="577" t="s">
        <v>409</v>
      </c>
      <c r="F19" s="581"/>
      <c r="G19" s="582"/>
      <c r="H19" s="583"/>
      <c r="I19" s="582"/>
      <c r="J19" s="584"/>
      <c r="K19" s="585" t="s">
        <v>504</v>
      </c>
      <c r="M19" s="3">
        <f>(((700*2)*(0.23*0.5))+(0.6*0.7*3.5*2))*1.2</f>
        <v>196.72799999999998</v>
      </c>
      <c r="N19" s="3">
        <f>203*2*0.15*0.3</f>
        <v>18.27</v>
      </c>
      <c r="O19" s="3">
        <f>8*20*0.15*1.05</f>
        <v>25.200000000000003</v>
      </c>
      <c r="P19" s="3">
        <f>4*6*0.15*5</f>
        <v>18</v>
      </c>
    </row>
    <row r="20" spans="1:19" s="420" customFormat="1" ht="23.1" customHeight="1">
      <c r="A20" s="577">
        <v>1.7</v>
      </c>
      <c r="B20" s="578" t="s">
        <v>410</v>
      </c>
      <c r="C20" s="579"/>
      <c r="D20" s="580">
        <v>4</v>
      </c>
      <c r="E20" s="577" t="s">
        <v>409</v>
      </c>
      <c r="F20" s="581"/>
      <c r="G20" s="582"/>
      <c r="H20" s="583"/>
      <c r="I20" s="582"/>
      <c r="J20" s="584"/>
      <c r="K20" s="585" t="s">
        <v>504</v>
      </c>
      <c r="M20" s="420">
        <f>D19*0.29</f>
        <v>1.1599999999999999</v>
      </c>
    </row>
    <row r="21" spans="1:19" s="3" customFormat="1" ht="23.1" customHeight="1">
      <c r="A21" s="501">
        <v>1.8</v>
      </c>
      <c r="B21" s="509" t="s">
        <v>411</v>
      </c>
      <c r="C21" s="502"/>
      <c r="D21" s="503"/>
      <c r="E21" s="501"/>
      <c r="F21" s="504"/>
      <c r="G21" s="505"/>
      <c r="H21" s="506"/>
      <c r="I21" s="505"/>
      <c r="J21" s="507"/>
      <c r="K21" s="500"/>
      <c r="M21" s="3">
        <v>36</v>
      </c>
      <c r="N21" s="3">
        <v>20</v>
      </c>
      <c r="O21" s="3">
        <f>56.2*N21</f>
        <v>1124</v>
      </c>
      <c r="P21" s="3">
        <v>36</v>
      </c>
    </row>
    <row r="22" spans="1:19" s="3" customFormat="1" ht="23.1" customHeight="1">
      <c r="A22" s="467">
        <v>1.9</v>
      </c>
      <c r="B22" s="476" t="s">
        <v>412</v>
      </c>
      <c r="C22" s="468"/>
      <c r="D22" s="469">
        <v>35</v>
      </c>
      <c r="E22" s="467" t="s">
        <v>62</v>
      </c>
      <c r="F22" s="470">
        <v>350</v>
      </c>
      <c r="G22" s="471">
        <f t="shared" ref="G22" si="0">F22*D22</f>
        <v>12250</v>
      </c>
      <c r="H22" s="472">
        <v>110</v>
      </c>
      <c r="I22" s="471">
        <f t="shared" ref="I22" si="1">H22*D22</f>
        <v>3850</v>
      </c>
      <c r="J22" s="473">
        <f t="shared" ref="J22" si="2">G22+I22</f>
        <v>16100</v>
      </c>
      <c r="K22" s="466"/>
      <c r="M22" s="3">
        <v>75.5</v>
      </c>
      <c r="N22" s="3">
        <v>108</v>
      </c>
      <c r="O22" s="3">
        <f>M22*N22</f>
        <v>8154</v>
      </c>
    </row>
    <row r="23" spans="1:19" s="3" customFormat="1" ht="23.1" customHeight="1">
      <c r="A23" s="477">
        <v>1.1000000000000001</v>
      </c>
      <c r="B23" s="476" t="s">
        <v>413</v>
      </c>
      <c r="C23" s="126"/>
      <c r="D23" s="478">
        <v>1</v>
      </c>
      <c r="E23" s="467" t="s">
        <v>75</v>
      </c>
      <c r="F23" s="479">
        <v>500</v>
      </c>
      <c r="G23" s="472">
        <f>F23*D23</f>
        <v>500</v>
      </c>
      <c r="H23" s="472">
        <v>3500</v>
      </c>
      <c r="I23" s="472">
        <f>H23*D23</f>
        <v>3500</v>
      </c>
      <c r="J23" s="480">
        <f>I23+G23</f>
        <v>4000</v>
      </c>
      <c r="K23" s="480"/>
      <c r="M23" s="3">
        <f>5000/10</f>
        <v>500</v>
      </c>
      <c r="N23" s="3">
        <f>64*0.2</f>
        <v>12.8</v>
      </c>
      <c r="O23" s="3">
        <f>N23*M23</f>
        <v>6400</v>
      </c>
    </row>
    <row r="24" spans="1:19" s="3" customFormat="1">
      <c r="A24" s="477">
        <v>1.1100000000000001</v>
      </c>
      <c r="B24" s="476" t="s">
        <v>414</v>
      </c>
      <c r="C24" s="481"/>
      <c r="D24" s="482">
        <v>140</v>
      </c>
      <c r="E24" s="467" t="s">
        <v>62</v>
      </c>
      <c r="F24" s="470">
        <v>550</v>
      </c>
      <c r="G24" s="472">
        <f t="shared" ref="G24:G37" si="3">F24*D24</f>
        <v>77000</v>
      </c>
      <c r="H24" s="472">
        <v>110</v>
      </c>
      <c r="I24" s="472">
        <f t="shared" ref="I24:I37" si="4">H24*D24</f>
        <v>15400</v>
      </c>
      <c r="J24" s="480">
        <f t="shared" ref="J24:J37" si="5">I24+G24</f>
        <v>92400</v>
      </c>
      <c r="K24" s="483"/>
    </row>
    <row r="25" spans="1:19" s="3" customFormat="1">
      <c r="A25" s="477"/>
      <c r="B25" s="476" t="s">
        <v>511</v>
      </c>
      <c r="C25" s="481"/>
      <c r="D25" s="482">
        <v>9</v>
      </c>
      <c r="E25" s="467" t="s">
        <v>409</v>
      </c>
      <c r="F25" s="470">
        <v>1750</v>
      </c>
      <c r="G25" s="472">
        <f t="shared" ref="G25" si="6">F25*D25</f>
        <v>15750</v>
      </c>
      <c r="H25" s="472">
        <v>250</v>
      </c>
      <c r="I25" s="472">
        <f t="shared" ref="I25" si="7">H25*D25</f>
        <v>2250</v>
      </c>
      <c r="J25" s="480">
        <f t="shared" ref="J25" si="8">I25+G25</f>
        <v>18000</v>
      </c>
      <c r="K25" s="483"/>
    </row>
    <row r="26" spans="1:19" s="420" customFormat="1" ht="23.1" customHeight="1">
      <c r="A26" s="559"/>
      <c r="B26" s="560"/>
      <c r="C26" s="561"/>
      <c r="D26" s="562"/>
      <c r="E26" s="550"/>
      <c r="F26" s="554"/>
      <c r="G26" s="563"/>
      <c r="H26" s="563"/>
      <c r="I26" s="563"/>
      <c r="J26" s="564">
        <f>SUM(J22:J25)</f>
        <v>130500</v>
      </c>
      <c r="K26" s="565"/>
      <c r="M26" s="420">
        <v>17.2</v>
      </c>
      <c r="N26" s="420">
        <v>6</v>
      </c>
      <c r="O26" s="420">
        <f>N26*M26</f>
        <v>103.19999999999999</v>
      </c>
    </row>
    <row r="27" spans="1:19" s="3" customFormat="1" ht="23.1" customHeight="1">
      <c r="A27" s="591">
        <v>1.1200000000000001</v>
      </c>
      <c r="B27" s="592" t="s">
        <v>415</v>
      </c>
      <c r="C27" s="593"/>
      <c r="D27" s="594"/>
      <c r="E27" s="568"/>
      <c r="F27" s="574"/>
      <c r="G27" s="574"/>
      <c r="H27" s="574"/>
      <c r="I27" s="574"/>
      <c r="J27" s="595"/>
      <c r="K27" s="596"/>
      <c r="M27" s="3">
        <v>21.1</v>
      </c>
      <c r="N27" s="3">
        <v>18</v>
      </c>
      <c r="O27" s="3">
        <f>N27*M27</f>
        <v>379.8</v>
      </c>
    </row>
    <row r="28" spans="1:19" s="3" customFormat="1" ht="23.1" customHeight="1">
      <c r="A28" s="586">
        <v>1.1299999999999999</v>
      </c>
      <c r="B28" s="578" t="s">
        <v>416</v>
      </c>
      <c r="C28" s="587"/>
      <c r="D28" s="588">
        <v>1</v>
      </c>
      <c r="E28" s="577" t="s">
        <v>75</v>
      </c>
      <c r="F28" s="581"/>
      <c r="G28" s="583"/>
      <c r="H28" s="583"/>
      <c r="I28" s="583"/>
      <c r="J28" s="589"/>
      <c r="K28" s="590" t="s">
        <v>504</v>
      </c>
      <c r="M28" s="3">
        <f>8.7*5</f>
        <v>43.5</v>
      </c>
      <c r="N28" s="3">
        <v>18</v>
      </c>
      <c r="O28" s="3">
        <f>M28*N28</f>
        <v>783</v>
      </c>
    </row>
    <row r="29" spans="1:19" s="3" customFormat="1" ht="23.1" customHeight="1">
      <c r="A29" s="586">
        <v>1.1399999999999999</v>
      </c>
      <c r="B29" s="578" t="s">
        <v>417</v>
      </c>
      <c r="C29" s="587"/>
      <c r="D29" s="588">
        <v>44</v>
      </c>
      <c r="E29" s="577" t="s">
        <v>95</v>
      </c>
      <c r="F29" s="583"/>
      <c r="G29" s="583"/>
      <c r="H29" s="583"/>
      <c r="I29" s="583"/>
      <c r="J29" s="589"/>
      <c r="K29" s="590" t="s">
        <v>504</v>
      </c>
      <c r="M29" s="3">
        <f>0.3*0.3*0.016*7850</f>
        <v>11.303999999999998</v>
      </c>
      <c r="N29" s="3">
        <f>M29*33</f>
        <v>373.03199999999993</v>
      </c>
    </row>
    <row r="30" spans="1:19" s="420" customFormat="1" ht="23.1" customHeight="1">
      <c r="A30" s="637">
        <v>1.1499999999999999</v>
      </c>
      <c r="B30" s="578" t="s">
        <v>418</v>
      </c>
      <c r="C30" s="638"/>
      <c r="D30" s="639">
        <v>24</v>
      </c>
      <c r="E30" s="640" t="s">
        <v>95</v>
      </c>
      <c r="F30" s="583"/>
      <c r="G30" s="583"/>
      <c r="H30" s="583"/>
      <c r="I30" s="583"/>
      <c r="J30" s="589"/>
      <c r="K30" s="584" t="s">
        <v>504</v>
      </c>
      <c r="M30" s="420">
        <f>0.15*0.15*0.006*7850</f>
        <v>1.05975</v>
      </c>
      <c r="N30" s="420">
        <f>M30*33</f>
        <v>34.97175</v>
      </c>
    </row>
    <row r="31" spans="1:19" s="3" customFormat="1" ht="23.1" customHeight="1">
      <c r="A31" s="614">
        <v>1.1599999999999999</v>
      </c>
      <c r="B31" s="509" t="s">
        <v>419</v>
      </c>
      <c r="C31" s="615"/>
      <c r="D31" s="616"/>
      <c r="E31" s="387"/>
      <c r="F31" s="506"/>
      <c r="G31" s="506"/>
      <c r="H31" s="506"/>
      <c r="I31" s="506"/>
      <c r="J31" s="513"/>
      <c r="K31" s="513"/>
    </row>
    <row r="32" spans="1:19" s="3" customFormat="1" ht="23.1" customHeight="1">
      <c r="A32" s="477">
        <v>1.17</v>
      </c>
      <c r="B32" s="476" t="s">
        <v>420</v>
      </c>
      <c r="C32" s="481"/>
      <c r="D32" s="482">
        <v>12</v>
      </c>
      <c r="E32" s="485" t="s">
        <v>421</v>
      </c>
      <c r="F32" s="479">
        <v>65</v>
      </c>
      <c r="G32" s="472">
        <f t="shared" si="3"/>
        <v>780</v>
      </c>
      <c r="H32" s="472">
        <v>50</v>
      </c>
      <c r="I32" s="472">
        <f t="shared" si="4"/>
        <v>600</v>
      </c>
      <c r="J32" s="480">
        <f t="shared" si="5"/>
        <v>1380</v>
      </c>
      <c r="K32" s="483"/>
      <c r="M32" s="3">
        <f>0.038*0.003*7850</f>
        <v>0.89490000000000003</v>
      </c>
      <c r="N32" s="3">
        <v>48</v>
      </c>
      <c r="O32" s="3">
        <f>N32*M32</f>
        <v>42.955200000000005</v>
      </c>
    </row>
    <row r="33" spans="1:18" s="420" customFormat="1" ht="23.1" customHeight="1">
      <c r="A33" s="477">
        <v>1.18</v>
      </c>
      <c r="B33" s="484" t="s">
        <v>424</v>
      </c>
      <c r="C33" s="481"/>
      <c r="D33" s="482">
        <v>8.5</v>
      </c>
      <c r="E33" s="485" t="s">
        <v>95</v>
      </c>
      <c r="F33" s="479">
        <v>280</v>
      </c>
      <c r="G33" s="472">
        <f t="shared" si="3"/>
        <v>2380</v>
      </c>
      <c r="H33" s="472">
        <v>100</v>
      </c>
      <c r="I33" s="472">
        <f t="shared" si="4"/>
        <v>850</v>
      </c>
      <c r="J33" s="480">
        <f t="shared" si="5"/>
        <v>3230</v>
      </c>
      <c r="K33" s="483"/>
      <c r="M33" s="420">
        <v>3.34</v>
      </c>
      <c r="N33" s="420">
        <v>24</v>
      </c>
      <c r="O33" s="420">
        <f>N33*M33</f>
        <v>80.16</v>
      </c>
    </row>
    <row r="34" spans="1:18" s="3" customFormat="1" ht="23.1" customHeight="1">
      <c r="A34" s="559"/>
      <c r="B34" s="566"/>
      <c r="C34" s="561"/>
      <c r="D34" s="562"/>
      <c r="E34" s="567"/>
      <c r="F34" s="563"/>
      <c r="G34" s="563"/>
      <c r="H34" s="563"/>
      <c r="I34" s="563"/>
      <c r="J34" s="564">
        <f>SUM(J32:J33)</f>
        <v>4610</v>
      </c>
      <c r="K34" s="565"/>
      <c r="M34" s="3">
        <f>413*1.1</f>
        <v>454.3</v>
      </c>
      <c r="N34" s="3">
        <f>M34*3</f>
        <v>1362.9</v>
      </c>
      <c r="O34" s="3">
        <f>M34*N34</f>
        <v>619165.47000000009</v>
      </c>
    </row>
    <row r="35" spans="1:18" s="3" customFormat="1" ht="23.1" customHeight="1">
      <c r="A35" s="510">
        <v>1.19</v>
      </c>
      <c r="B35" s="515" t="s">
        <v>422</v>
      </c>
      <c r="C35" s="511"/>
      <c r="D35" s="512"/>
      <c r="E35" s="516"/>
      <c r="F35" s="506"/>
      <c r="G35" s="506"/>
      <c r="H35" s="506"/>
      <c r="I35" s="506"/>
      <c r="J35" s="513"/>
      <c r="K35" s="514"/>
      <c r="M35" s="3">
        <v>3.81</v>
      </c>
      <c r="N35" s="3">
        <v>48</v>
      </c>
      <c r="O35" s="3">
        <f>N35*M35</f>
        <v>182.88</v>
      </c>
      <c r="Q35" s="3">
        <f>6*12000</f>
        <v>72000</v>
      </c>
      <c r="R35" s="3">
        <f>12*3*450</f>
        <v>16200</v>
      </c>
    </row>
    <row r="36" spans="1:18" s="3" customFormat="1" ht="23.1" customHeight="1">
      <c r="A36" s="477">
        <v>1.2</v>
      </c>
      <c r="B36" s="484" t="s">
        <v>423</v>
      </c>
      <c r="C36" s="481"/>
      <c r="D36" s="482">
        <v>1</v>
      </c>
      <c r="E36" s="485" t="s">
        <v>174</v>
      </c>
      <c r="F36" s="479">
        <v>1600</v>
      </c>
      <c r="G36" s="472">
        <f t="shared" si="3"/>
        <v>1600</v>
      </c>
      <c r="H36" s="472">
        <v>500</v>
      </c>
      <c r="I36" s="472">
        <f t="shared" si="4"/>
        <v>500</v>
      </c>
      <c r="J36" s="480">
        <f t="shared" si="5"/>
        <v>2100</v>
      </c>
      <c r="K36" s="483"/>
    </row>
    <row r="37" spans="1:18" s="3" customFormat="1" ht="23.1" customHeight="1">
      <c r="A37" s="477">
        <v>1.21</v>
      </c>
      <c r="B37" s="484" t="s">
        <v>424</v>
      </c>
      <c r="C37" s="481"/>
      <c r="D37" s="482">
        <v>18</v>
      </c>
      <c r="E37" s="485" t="s">
        <v>95</v>
      </c>
      <c r="F37" s="479">
        <v>350</v>
      </c>
      <c r="G37" s="472">
        <f t="shared" si="3"/>
        <v>6300</v>
      </c>
      <c r="H37" s="472">
        <v>100</v>
      </c>
      <c r="I37" s="472">
        <f t="shared" si="4"/>
        <v>1800</v>
      </c>
      <c r="J37" s="480">
        <f t="shared" si="5"/>
        <v>8100</v>
      </c>
      <c r="K37" s="483"/>
    </row>
    <row r="38" spans="1:18" s="4" customFormat="1" ht="23.1" customHeight="1">
      <c r="A38" s="486"/>
      <c r="B38" s="659" t="s">
        <v>425</v>
      </c>
      <c r="C38" s="660"/>
      <c r="D38" s="487"/>
      <c r="E38" s="486"/>
      <c r="F38" s="488"/>
      <c r="G38" s="489">
        <f>SUM(G14:G37)</f>
        <v>170600</v>
      </c>
      <c r="H38" s="489"/>
      <c r="I38" s="489">
        <f>SUM(I14:I37)</f>
        <v>52270</v>
      </c>
      <c r="J38" s="490">
        <f>SUM(J36:J37)</f>
        <v>10200</v>
      </c>
      <c r="K38" s="491"/>
    </row>
    <row r="39" spans="1:18">
      <c r="A39" s="510">
        <v>1.22</v>
      </c>
      <c r="B39" s="515" t="s">
        <v>505</v>
      </c>
      <c r="C39" s="511"/>
      <c r="D39" s="512"/>
      <c r="E39" s="516"/>
      <c r="F39" s="506"/>
      <c r="G39" s="506"/>
      <c r="H39" s="506"/>
      <c r="I39" s="506"/>
      <c r="J39" s="513"/>
      <c r="K39" s="514"/>
    </row>
    <row r="40" spans="1:18">
      <c r="A40" s="477">
        <v>1.23</v>
      </c>
      <c r="B40" s="484" t="s">
        <v>506</v>
      </c>
      <c r="C40" s="481"/>
      <c r="D40" s="482">
        <v>4</v>
      </c>
      <c r="E40" s="485" t="s">
        <v>409</v>
      </c>
      <c r="F40" s="479">
        <v>0</v>
      </c>
      <c r="G40" s="472">
        <f t="shared" ref="G40:G43" si="9">F40*D40</f>
        <v>0</v>
      </c>
      <c r="H40" s="472">
        <v>500</v>
      </c>
      <c r="I40" s="472">
        <f t="shared" ref="I40:I43" si="10">H40*D40</f>
        <v>2000</v>
      </c>
      <c r="J40" s="480">
        <f t="shared" ref="J40:J43" si="11">I40+G40</f>
        <v>2000</v>
      </c>
      <c r="K40" s="483"/>
    </row>
    <row r="41" spans="1:18">
      <c r="A41" s="477">
        <v>1.24</v>
      </c>
      <c r="B41" s="484" t="s">
        <v>507</v>
      </c>
      <c r="C41" s="481"/>
      <c r="D41" s="482">
        <v>325</v>
      </c>
      <c r="E41" s="485" t="s">
        <v>508</v>
      </c>
      <c r="F41" s="479">
        <v>210</v>
      </c>
      <c r="G41" s="472">
        <f t="shared" si="9"/>
        <v>68250</v>
      </c>
      <c r="H41" s="472">
        <v>23</v>
      </c>
      <c r="I41" s="472">
        <f t="shared" si="10"/>
        <v>7475</v>
      </c>
      <c r="J41" s="480">
        <f t="shared" si="11"/>
        <v>75725</v>
      </c>
      <c r="K41" s="483"/>
    </row>
    <row r="42" spans="1:18">
      <c r="A42" s="477">
        <v>1.25</v>
      </c>
      <c r="B42" s="484" t="s">
        <v>509</v>
      </c>
      <c r="C42" s="481"/>
      <c r="D42" s="482">
        <v>967</v>
      </c>
      <c r="E42" s="485" t="s">
        <v>62</v>
      </c>
      <c r="F42" s="479">
        <v>310</v>
      </c>
      <c r="G42" s="472">
        <f t="shared" si="9"/>
        <v>299770</v>
      </c>
      <c r="H42" s="472">
        <v>135</v>
      </c>
      <c r="I42" s="472">
        <f t="shared" si="10"/>
        <v>130545</v>
      </c>
      <c r="J42" s="480">
        <f t="shared" si="11"/>
        <v>430315</v>
      </c>
      <c r="K42" s="483"/>
    </row>
    <row r="43" spans="1:18">
      <c r="A43" s="477">
        <v>1.26</v>
      </c>
      <c r="B43" s="484" t="s">
        <v>510</v>
      </c>
      <c r="C43" s="481"/>
      <c r="D43" s="482">
        <v>1</v>
      </c>
      <c r="E43" s="485" t="s">
        <v>174</v>
      </c>
      <c r="F43" s="479">
        <v>10000</v>
      </c>
      <c r="G43" s="472">
        <f t="shared" si="9"/>
        <v>10000</v>
      </c>
      <c r="H43" s="472">
        <v>0</v>
      </c>
      <c r="I43" s="472">
        <f t="shared" si="10"/>
        <v>0</v>
      </c>
      <c r="J43" s="480">
        <f t="shared" si="11"/>
        <v>10000</v>
      </c>
      <c r="K43" s="483"/>
    </row>
    <row r="44" spans="1:18">
      <c r="A44" s="486"/>
      <c r="B44" s="659" t="s">
        <v>425</v>
      </c>
      <c r="C44" s="660"/>
      <c r="D44" s="487"/>
      <c r="E44" s="486"/>
      <c r="F44" s="488"/>
      <c r="G44" s="489">
        <f>SUM(G18:G41)</f>
        <v>355410</v>
      </c>
      <c r="H44" s="489"/>
      <c r="I44" s="489">
        <f>SUM(I18:I41)</f>
        <v>90495</v>
      </c>
      <c r="J44" s="490">
        <f>SUM(J40:J43)</f>
        <v>518040</v>
      </c>
      <c r="K44" s="491"/>
    </row>
    <row r="45" spans="1:18">
      <c r="A45" s="492"/>
      <c r="B45" s="493" t="s">
        <v>426</v>
      </c>
      <c r="C45" s="493"/>
      <c r="D45" s="492"/>
      <c r="E45" s="492"/>
      <c r="F45" s="494"/>
      <c r="G45" s="494"/>
      <c r="H45" s="494"/>
      <c r="I45" s="494"/>
      <c r="J45" s="494">
        <f>J44+J38+J34+J26+J17</f>
        <v>702130</v>
      </c>
      <c r="K45" s="495"/>
    </row>
  </sheetData>
  <mergeCells count="4">
    <mergeCell ref="B44:C44"/>
    <mergeCell ref="I5:J5"/>
    <mergeCell ref="B12:C12"/>
    <mergeCell ref="B38:C38"/>
  </mergeCells>
  <printOptions horizontalCentered="1"/>
  <pageMargins left="0.2" right="0.2" top="0.5" bottom="0.5" header="0.3" footer="0.3"/>
  <pageSetup paperSize="9" scale="80" orientation="landscape" horizontalDpi="300" verticalDpi="300" r:id="rId1"/>
  <headerFooter alignWithMargins="0"/>
  <rowBreaks count="1" manualBreakCount="1">
    <brk id="30" max="10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indexed="10"/>
  </sheetPr>
  <dimension ref="A1:P177"/>
  <sheetViews>
    <sheetView showGridLines="0" showZeros="0" view="pageBreakPreview" zoomScale="70" zoomScaleNormal="85" zoomScaleSheetLayoutView="70" workbookViewId="0">
      <pane ySplit="8" topLeftCell="A154" activePane="bottomLeft" state="frozen"/>
      <selection activeCell="F45" sqref="F45"/>
      <selection pane="bottomLeft" activeCell="A57" sqref="A57:XFD57"/>
    </sheetView>
  </sheetViews>
  <sheetFormatPr defaultColWidth="9.140625" defaultRowHeight="21.75"/>
  <cols>
    <col min="1" max="1" width="6.140625" style="116" customWidth="1"/>
    <col min="2" max="2" width="6.140625" style="5" customWidth="1"/>
    <col min="3" max="3" width="55.7109375" style="527" customWidth="1"/>
    <col min="4" max="4" width="10.7109375" style="117" customWidth="1"/>
    <col min="5" max="5" width="8.7109375" style="5" customWidth="1"/>
    <col min="6" max="9" width="15.7109375" style="118" customWidth="1"/>
    <col min="10" max="10" width="18.7109375" style="118" customWidth="1"/>
    <col min="11" max="11" width="15.7109375" style="5" customWidth="1"/>
    <col min="12" max="12" width="13.5703125" style="5" customWidth="1"/>
    <col min="13" max="13" width="25.7109375" style="5" bestFit="1" customWidth="1"/>
    <col min="14" max="16384" width="9.140625" style="5"/>
  </cols>
  <sheetData>
    <row r="1" spans="1:11" s="1" customFormat="1" ht="27" customHeight="1">
      <c r="A1" s="68" t="s">
        <v>401</v>
      </c>
      <c r="B1" s="68"/>
      <c r="C1" s="68" t="str">
        <f ca="1">'1.1.ST'!C1</f>
        <v>งานออกแบบและก่อสร้าง  กองอาคารและสถานที่ มหาวิทยาลัยขอนแก่น</v>
      </c>
      <c r="D1" s="68"/>
      <c r="E1" s="68"/>
      <c r="F1" s="68"/>
      <c r="G1" s="68"/>
      <c r="H1" s="68"/>
      <c r="I1" s="68" t="s">
        <v>43</v>
      </c>
      <c r="J1" s="68" t="s">
        <v>44</v>
      </c>
      <c r="K1" s="68"/>
    </row>
    <row r="2" spans="1:11" s="1" customFormat="1">
      <c r="A2" s="634" t="str">
        <f>' ปร.6'!A3</f>
        <v>ชื่อโครง  โครงการปรับปรุงห้องปฏิบัติการเคมี อาคาร sc.04 คณะวิทยาศาสตร์</v>
      </c>
      <c r="B2" s="634"/>
      <c r="C2" s="634"/>
      <c r="D2" s="68"/>
      <c r="E2" s="68"/>
      <c r="F2" s="68"/>
      <c r="G2" s="68"/>
      <c r="H2" s="68"/>
      <c r="I2" s="68"/>
      <c r="J2" s="68"/>
      <c r="K2" s="68"/>
    </row>
    <row r="3" spans="1:11" s="1" customFormat="1">
      <c r="A3" s="68" t="s">
        <v>88</v>
      </c>
      <c r="B3" s="68"/>
      <c r="C3" s="519" t="s">
        <v>54</v>
      </c>
      <c r="D3" s="68" t="s">
        <v>6</v>
      </c>
      <c r="E3" s="68"/>
      <c r="F3" s="68"/>
      <c r="G3" s="68"/>
      <c r="H3" s="68" t="s">
        <v>45</v>
      </c>
      <c r="I3" s="68"/>
      <c r="J3" s="68"/>
      <c r="K3" s="68"/>
    </row>
    <row r="4" spans="1:11" s="1" customFormat="1">
      <c r="A4" s="68" t="s">
        <v>46</v>
      </c>
      <c r="B4" s="68"/>
      <c r="C4" s="519" t="str">
        <f ca="1">'1.1.ST'!C4</f>
        <v>งานออกแบบและก่อสร้าง</v>
      </c>
      <c r="D4" s="68" t="s">
        <v>47</v>
      </c>
      <c r="E4" s="68" t="s">
        <v>61</v>
      </c>
      <c r="F4" s="68"/>
      <c r="G4" s="68"/>
      <c r="H4" s="68" t="s">
        <v>48</v>
      </c>
      <c r="I4" s="68"/>
      <c r="J4" s="68"/>
      <c r="K4" s="68"/>
    </row>
    <row r="5" spans="1:11" s="1" customFormat="1">
      <c r="A5" s="68" t="s">
        <v>182</v>
      </c>
      <c r="B5" s="68"/>
      <c r="C5" s="519"/>
      <c r="D5" s="68"/>
      <c r="E5" s="68"/>
      <c r="F5" s="68"/>
      <c r="G5" s="68"/>
      <c r="H5" s="69" t="s">
        <v>52</v>
      </c>
      <c r="I5" s="661"/>
      <c r="J5" s="661"/>
      <c r="K5" s="68" t="s">
        <v>22</v>
      </c>
    </row>
    <row r="6" spans="1:11" s="2" customFormat="1" ht="22.5" thickBot="1">
      <c r="A6" s="6"/>
      <c r="B6" s="6"/>
      <c r="C6" s="520"/>
      <c r="D6" s="8"/>
      <c r="E6" s="8"/>
      <c r="F6" s="70"/>
      <c r="G6" s="71"/>
      <c r="H6" s="71"/>
      <c r="I6" s="70"/>
      <c r="J6" s="70"/>
      <c r="K6" s="7"/>
    </row>
    <row r="7" spans="1:11" s="2" customFormat="1">
      <c r="A7" s="72" t="s">
        <v>49</v>
      </c>
      <c r="B7" s="636"/>
      <c r="C7" s="635" t="s">
        <v>1</v>
      </c>
      <c r="D7" s="99" t="s">
        <v>2</v>
      </c>
      <c r="E7" s="74" t="s">
        <v>3</v>
      </c>
      <c r="F7" s="100" t="s">
        <v>23</v>
      </c>
      <c r="G7" s="101"/>
      <c r="H7" s="100" t="s">
        <v>4</v>
      </c>
      <c r="I7" s="101"/>
      <c r="J7" s="102" t="s">
        <v>50</v>
      </c>
      <c r="K7" s="75" t="s">
        <v>5</v>
      </c>
    </row>
    <row r="8" spans="1:11" s="2" customFormat="1" ht="22.5" thickBot="1">
      <c r="A8" s="76"/>
      <c r="B8" s="77"/>
      <c r="C8" s="604"/>
      <c r="D8" s="605"/>
      <c r="E8" s="79"/>
      <c r="F8" s="606" t="s">
        <v>51</v>
      </c>
      <c r="G8" s="606" t="s">
        <v>13</v>
      </c>
      <c r="H8" s="606" t="s">
        <v>51</v>
      </c>
      <c r="I8" s="606" t="s">
        <v>13</v>
      </c>
      <c r="J8" s="607"/>
      <c r="K8" s="80"/>
    </row>
    <row r="9" spans="1:11">
      <c r="A9" s="597"/>
      <c r="B9" s="598" t="s">
        <v>77</v>
      </c>
      <c r="C9" s="599"/>
      <c r="D9" s="600"/>
      <c r="E9" s="601"/>
      <c r="F9" s="602"/>
      <c r="G9" s="602"/>
      <c r="H9" s="602"/>
      <c r="I9" s="602"/>
      <c r="J9" s="602"/>
      <c r="K9" s="603"/>
    </row>
    <row r="10" spans="1:11" ht="22.5" thickBot="1">
      <c r="A10" s="93"/>
      <c r="B10" s="94" t="s">
        <v>78</v>
      </c>
      <c r="C10" s="95"/>
      <c r="D10" s="96"/>
      <c r="E10" s="97"/>
      <c r="F10" s="98"/>
      <c r="G10" s="98"/>
      <c r="H10" s="98"/>
      <c r="I10" s="98"/>
      <c r="J10" s="98"/>
      <c r="K10" s="337"/>
    </row>
    <row r="11" spans="1:11" ht="22.5" thickBot="1">
      <c r="A11" s="409">
        <v>1</v>
      </c>
      <c r="B11" s="410" t="s">
        <v>225</v>
      </c>
      <c r="C11" s="411"/>
      <c r="D11" s="412"/>
      <c r="E11" s="413"/>
      <c r="F11" s="414"/>
      <c r="G11" s="414"/>
      <c r="H11" s="414"/>
      <c r="I11" s="414"/>
      <c r="J11" s="414"/>
      <c r="K11" s="415"/>
    </row>
    <row r="12" spans="1:11">
      <c r="A12" s="416">
        <v>1.1000000000000001</v>
      </c>
      <c r="B12" s="664" t="s">
        <v>90</v>
      </c>
      <c r="C12" s="665"/>
      <c r="D12" s="417"/>
      <c r="E12" s="416"/>
      <c r="F12" s="418"/>
      <c r="G12" s="418"/>
      <c r="H12" s="418"/>
      <c r="I12" s="418"/>
      <c r="J12" s="418"/>
      <c r="K12" s="419"/>
    </row>
    <row r="13" spans="1:11">
      <c r="A13" s="10"/>
      <c r="B13" s="81" t="s">
        <v>80</v>
      </c>
      <c r="C13" s="82" t="s">
        <v>185</v>
      </c>
      <c r="D13" s="335">
        <v>1</v>
      </c>
      <c r="E13" s="84" t="s">
        <v>75</v>
      </c>
      <c r="F13" s="85">
        <v>0</v>
      </c>
      <c r="G13" s="85">
        <f>+F13*D13</f>
        <v>0</v>
      </c>
      <c r="H13" s="85">
        <v>38000</v>
      </c>
      <c r="I13" s="86">
        <f>D13*H13</f>
        <v>38000</v>
      </c>
      <c r="J13" s="87">
        <f>G13+I13</f>
        <v>38000</v>
      </c>
      <c r="K13" s="336" t="s">
        <v>186</v>
      </c>
    </row>
    <row r="14" spans="1:11">
      <c r="A14" s="10"/>
      <c r="B14" s="81" t="s">
        <v>80</v>
      </c>
      <c r="C14" s="82" t="s">
        <v>188</v>
      </c>
      <c r="D14" s="335">
        <v>1</v>
      </c>
      <c r="E14" s="84" t="s">
        <v>75</v>
      </c>
      <c r="F14" s="85">
        <v>0</v>
      </c>
      <c r="G14" s="85">
        <f t="shared" ref="G14:G23" si="0">+F14*D14</f>
        <v>0</v>
      </c>
      <c r="H14" s="85">
        <v>35000</v>
      </c>
      <c r="I14" s="86">
        <f t="shared" ref="I14:I23" si="1">D14*H14</f>
        <v>35000</v>
      </c>
      <c r="J14" s="87">
        <f t="shared" ref="J14:J23" si="2">G14+I14</f>
        <v>35000</v>
      </c>
      <c r="K14" s="336" t="s">
        <v>186</v>
      </c>
    </row>
    <row r="15" spans="1:11">
      <c r="A15" s="10"/>
      <c r="B15" s="81" t="s">
        <v>80</v>
      </c>
      <c r="C15" s="82" t="s">
        <v>189</v>
      </c>
      <c r="D15" s="335">
        <v>1</v>
      </c>
      <c r="E15" s="84" t="s">
        <v>75</v>
      </c>
      <c r="F15" s="85">
        <v>0</v>
      </c>
      <c r="G15" s="85">
        <f t="shared" si="0"/>
        <v>0</v>
      </c>
      <c r="H15" s="85">
        <v>18500</v>
      </c>
      <c r="I15" s="86">
        <f t="shared" si="1"/>
        <v>18500</v>
      </c>
      <c r="J15" s="87">
        <f t="shared" si="2"/>
        <v>18500</v>
      </c>
      <c r="K15" s="336" t="s">
        <v>186</v>
      </c>
    </row>
    <row r="16" spans="1:11">
      <c r="A16" s="10"/>
      <c r="B16" s="81" t="s">
        <v>80</v>
      </c>
      <c r="C16" s="82" t="s">
        <v>190</v>
      </c>
      <c r="D16" s="335">
        <v>1</v>
      </c>
      <c r="E16" s="84" t="s">
        <v>75</v>
      </c>
      <c r="F16" s="85">
        <v>0</v>
      </c>
      <c r="G16" s="85">
        <f t="shared" si="0"/>
        <v>0</v>
      </c>
      <c r="H16" s="85">
        <v>12500</v>
      </c>
      <c r="I16" s="86">
        <f t="shared" si="1"/>
        <v>12500</v>
      </c>
      <c r="J16" s="87">
        <f t="shared" si="2"/>
        <v>12500</v>
      </c>
      <c r="K16" s="336" t="s">
        <v>186</v>
      </c>
    </row>
    <row r="17" spans="1:11">
      <c r="A17" s="10"/>
      <c r="B17" s="81" t="s">
        <v>80</v>
      </c>
      <c r="C17" s="82" t="s">
        <v>191</v>
      </c>
      <c r="D17" s="335">
        <v>1</v>
      </c>
      <c r="E17" s="84" t="s">
        <v>75</v>
      </c>
      <c r="F17" s="85">
        <v>0</v>
      </c>
      <c r="G17" s="85">
        <f t="shared" si="0"/>
        <v>0</v>
      </c>
      <c r="H17" s="85">
        <v>21500</v>
      </c>
      <c r="I17" s="86">
        <f t="shared" si="1"/>
        <v>21500</v>
      </c>
      <c r="J17" s="87">
        <f t="shared" si="2"/>
        <v>21500</v>
      </c>
      <c r="K17" s="336" t="s">
        <v>186</v>
      </c>
    </row>
    <row r="18" spans="1:11">
      <c r="A18" s="10"/>
      <c r="B18" s="81" t="s">
        <v>80</v>
      </c>
      <c r="C18" s="82" t="s">
        <v>514</v>
      </c>
      <c r="D18" s="335">
        <v>1</v>
      </c>
      <c r="E18" s="84" t="s">
        <v>75</v>
      </c>
      <c r="F18" s="85">
        <v>0</v>
      </c>
      <c r="G18" s="85">
        <f t="shared" si="0"/>
        <v>0</v>
      </c>
      <c r="H18" s="85">
        <v>18500</v>
      </c>
      <c r="I18" s="86">
        <f t="shared" si="1"/>
        <v>18500</v>
      </c>
      <c r="J18" s="87">
        <f t="shared" si="2"/>
        <v>18500</v>
      </c>
      <c r="K18" s="336" t="s">
        <v>186</v>
      </c>
    </row>
    <row r="19" spans="1:11">
      <c r="A19" s="10"/>
      <c r="B19" s="81" t="s">
        <v>80</v>
      </c>
      <c r="C19" s="82" t="s">
        <v>539</v>
      </c>
      <c r="D19" s="335">
        <v>1</v>
      </c>
      <c r="E19" s="84" t="s">
        <v>75</v>
      </c>
      <c r="F19" s="85">
        <v>0</v>
      </c>
      <c r="G19" s="85">
        <f t="shared" si="0"/>
        <v>0</v>
      </c>
      <c r="H19" s="85">
        <v>20000</v>
      </c>
      <c r="I19" s="86">
        <f t="shared" si="1"/>
        <v>20000</v>
      </c>
      <c r="J19" s="87">
        <f t="shared" si="2"/>
        <v>20000</v>
      </c>
      <c r="K19" s="336" t="s">
        <v>186</v>
      </c>
    </row>
    <row r="20" spans="1:11" ht="27.75" customHeight="1">
      <c r="A20" s="10"/>
      <c r="B20" s="81" t="s">
        <v>80</v>
      </c>
      <c r="C20" s="82" t="s">
        <v>465</v>
      </c>
      <c r="D20" s="335">
        <v>1</v>
      </c>
      <c r="E20" s="84" t="s">
        <v>75</v>
      </c>
      <c r="F20" s="85">
        <v>0</v>
      </c>
      <c r="G20" s="85">
        <f t="shared" si="0"/>
        <v>0</v>
      </c>
      <c r="H20" s="85">
        <v>8500</v>
      </c>
      <c r="I20" s="86">
        <f t="shared" si="1"/>
        <v>8500</v>
      </c>
      <c r="J20" s="87">
        <f t="shared" si="2"/>
        <v>8500</v>
      </c>
      <c r="K20" s="336" t="s">
        <v>186</v>
      </c>
    </row>
    <row r="21" spans="1:11" ht="32.25" customHeight="1">
      <c r="A21" s="10"/>
      <c r="B21" s="81" t="s">
        <v>80</v>
      </c>
      <c r="C21" s="82" t="s">
        <v>245</v>
      </c>
      <c r="D21" s="335">
        <v>1</v>
      </c>
      <c r="E21" s="84" t="s">
        <v>75</v>
      </c>
      <c r="F21" s="85">
        <v>0</v>
      </c>
      <c r="G21" s="85">
        <f t="shared" si="0"/>
        <v>0</v>
      </c>
      <c r="H21" s="85">
        <v>20000</v>
      </c>
      <c r="I21" s="86">
        <f t="shared" si="1"/>
        <v>20000</v>
      </c>
      <c r="J21" s="87">
        <f t="shared" si="2"/>
        <v>20000</v>
      </c>
      <c r="K21" s="336" t="s">
        <v>186</v>
      </c>
    </row>
    <row r="22" spans="1:11" ht="29.25" customHeight="1">
      <c r="A22" s="10"/>
      <c r="B22" s="81" t="s">
        <v>80</v>
      </c>
      <c r="C22" s="82" t="s">
        <v>224</v>
      </c>
      <c r="D22" s="335">
        <v>10</v>
      </c>
      <c r="E22" s="84" t="s">
        <v>60</v>
      </c>
      <c r="F22" s="85">
        <v>0</v>
      </c>
      <c r="G22" s="85">
        <f t="shared" ref="G22" si="3">+F22*D22</f>
        <v>0</v>
      </c>
      <c r="H22" s="85">
        <v>5000</v>
      </c>
      <c r="I22" s="86">
        <f t="shared" ref="I22" si="4">D22*H22</f>
        <v>50000</v>
      </c>
      <c r="J22" s="87">
        <f t="shared" ref="J22" si="5">G22+I22</f>
        <v>50000</v>
      </c>
      <c r="K22" s="336" t="s">
        <v>186</v>
      </c>
    </row>
    <row r="23" spans="1:11" ht="29.25" customHeight="1">
      <c r="A23" s="10"/>
      <c r="B23" s="81" t="s">
        <v>80</v>
      </c>
      <c r="C23" s="82" t="s">
        <v>538</v>
      </c>
      <c r="D23" s="335">
        <v>1</v>
      </c>
      <c r="E23" s="84" t="s">
        <v>75</v>
      </c>
      <c r="F23" s="85">
        <v>0</v>
      </c>
      <c r="G23" s="85">
        <f t="shared" si="0"/>
        <v>0</v>
      </c>
      <c r="H23" s="85">
        <v>10000</v>
      </c>
      <c r="I23" s="86">
        <f t="shared" si="1"/>
        <v>10000</v>
      </c>
      <c r="J23" s="87">
        <f t="shared" si="2"/>
        <v>10000</v>
      </c>
      <c r="K23" s="336" t="s">
        <v>186</v>
      </c>
    </row>
    <row r="24" spans="1:11" ht="65.25">
      <c r="A24" s="10"/>
      <c r="B24" s="81"/>
      <c r="C24" s="82" t="s">
        <v>467</v>
      </c>
      <c r="D24" s="335"/>
      <c r="E24" s="84"/>
      <c r="F24" s="85"/>
      <c r="G24" s="85"/>
      <c r="H24" s="85"/>
      <c r="I24" s="86"/>
      <c r="J24" s="87"/>
      <c r="K24" s="336"/>
    </row>
    <row r="25" spans="1:11" ht="22.5" thickBot="1">
      <c r="A25" s="421"/>
      <c r="B25" s="666" t="s">
        <v>131</v>
      </c>
      <c r="C25" s="667"/>
      <c r="D25" s="422"/>
      <c r="E25" s="421"/>
      <c r="F25" s="423"/>
      <c r="G25" s="424">
        <f>SUM(G13:G24)</f>
        <v>0</v>
      </c>
      <c r="H25" s="423"/>
      <c r="I25" s="424">
        <f>SUM(I13:I24)</f>
        <v>252500</v>
      </c>
      <c r="J25" s="425">
        <f>SUM(J13:J24)</f>
        <v>252500</v>
      </c>
      <c r="K25" s="426"/>
    </row>
    <row r="26" spans="1:11">
      <c r="A26" s="416">
        <v>1.2</v>
      </c>
      <c r="B26" s="664" t="s">
        <v>94</v>
      </c>
      <c r="C26" s="665"/>
      <c r="D26" s="417"/>
      <c r="E26" s="416"/>
      <c r="F26" s="418"/>
      <c r="G26" s="418"/>
      <c r="H26" s="418"/>
      <c r="I26" s="418"/>
      <c r="J26" s="418"/>
      <c r="K26" s="419"/>
    </row>
    <row r="27" spans="1:11">
      <c r="A27" s="10"/>
      <c r="B27" s="81">
        <v>1</v>
      </c>
      <c r="C27" s="82" t="s">
        <v>466</v>
      </c>
      <c r="D27" s="83">
        <f>2779.25-D33</f>
        <v>2392.1379999999999</v>
      </c>
      <c r="E27" s="10" t="s">
        <v>62</v>
      </c>
      <c r="F27" s="85">
        <v>150</v>
      </c>
      <c r="G27" s="85">
        <f t="shared" ref="G27:G32" si="6">+F27*D27</f>
        <v>358820.7</v>
      </c>
      <c r="H27" s="85">
        <v>60</v>
      </c>
      <c r="I27" s="86">
        <f t="shared" ref="I27:I32" si="7">D27*H27</f>
        <v>143528.28</v>
      </c>
      <c r="J27" s="87">
        <f t="shared" ref="J27:J32" si="8">G27+I27</f>
        <v>502348.98</v>
      </c>
      <c r="K27" s="336"/>
    </row>
    <row r="28" spans="1:11" ht="81" customHeight="1">
      <c r="A28" s="10"/>
      <c r="B28" s="81"/>
      <c r="C28" s="82" t="s">
        <v>537</v>
      </c>
      <c r="D28" s="83"/>
      <c r="E28" s="10"/>
      <c r="F28" s="85"/>
      <c r="G28" s="85">
        <f t="shared" ref="G28" si="9">+F28*D28</f>
        <v>0</v>
      </c>
      <c r="H28" s="85"/>
      <c r="I28" s="86">
        <f t="shared" ref="I28" si="10">D28*H28</f>
        <v>0</v>
      </c>
      <c r="J28" s="87">
        <f t="shared" ref="J28" si="11">G28+I28</f>
        <v>0</v>
      </c>
      <c r="K28" s="349"/>
    </row>
    <row r="29" spans="1:11" ht="65.25">
      <c r="A29" s="10"/>
      <c r="B29" s="81" t="s">
        <v>263</v>
      </c>
      <c r="C29" s="82" t="s">
        <v>264</v>
      </c>
      <c r="D29" s="83">
        <f>10.87*1.1</f>
        <v>11.957000000000001</v>
      </c>
      <c r="E29" s="10" t="s">
        <v>62</v>
      </c>
      <c r="F29" s="85">
        <v>220</v>
      </c>
      <c r="G29" s="85">
        <f t="shared" si="6"/>
        <v>2630.54</v>
      </c>
      <c r="H29" s="85">
        <v>90</v>
      </c>
      <c r="I29" s="86">
        <f t="shared" si="7"/>
        <v>1076.1300000000001</v>
      </c>
      <c r="J29" s="87">
        <f t="shared" si="8"/>
        <v>3706.67</v>
      </c>
      <c r="K29" s="349" t="s">
        <v>468</v>
      </c>
    </row>
    <row r="30" spans="1:11" ht="65.25">
      <c r="A30" s="10"/>
      <c r="B30" s="81" t="s">
        <v>265</v>
      </c>
      <c r="C30" s="82" t="s">
        <v>469</v>
      </c>
      <c r="D30" s="83">
        <f>6.75*1.1</f>
        <v>7.4250000000000007</v>
      </c>
      <c r="E30" s="10" t="s">
        <v>62</v>
      </c>
      <c r="F30" s="85">
        <v>220</v>
      </c>
      <c r="G30" s="85">
        <f t="shared" si="6"/>
        <v>1633.5000000000002</v>
      </c>
      <c r="H30" s="85">
        <v>90</v>
      </c>
      <c r="I30" s="86">
        <f t="shared" si="7"/>
        <v>668.25000000000011</v>
      </c>
      <c r="J30" s="87">
        <f t="shared" si="8"/>
        <v>2301.7500000000005</v>
      </c>
      <c r="K30" s="349" t="s">
        <v>468</v>
      </c>
    </row>
    <row r="31" spans="1:11" ht="65.25">
      <c r="A31" s="10"/>
      <c r="B31" s="81" t="s">
        <v>266</v>
      </c>
      <c r="C31" s="82" t="s">
        <v>470</v>
      </c>
      <c r="D31" s="83">
        <f>6.75*1.1</f>
        <v>7.4250000000000007</v>
      </c>
      <c r="E31" s="10" t="s">
        <v>62</v>
      </c>
      <c r="F31" s="85">
        <v>220</v>
      </c>
      <c r="G31" s="85">
        <f t="shared" si="6"/>
        <v>1633.5000000000002</v>
      </c>
      <c r="H31" s="85">
        <v>90</v>
      </c>
      <c r="I31" s="86">
        <f t="shared" si="7"/>
        <v>668.25000000000011</v>
      </c>
      <c r="J31" s="87">
        <f t="shared" si="8"/>
        <v>2301.7500000000005</v>
      </c>
      <c r="K31" s="349" t="s">
        <v>468</v>
      </c>
    </row>
    <row r="32" spans="1:11" ht="65.25">
      <c r="A32" s="10"/>
      <c r="B32" s="81" t="s">
        <v>267</v>
      </c>
      <c r="C32" s="82" t="s">
        <v>471</v>
      </c>
      <c r="D32" s="83">
        <f>10.13*1.1</f>
        <v>11.143000000000002</v>
      </c>
      <c r="E32" s="10" t="s">
        <v>62</v>
      </c>
      <c r="F32" s="85">
        <v>220</v>
      </c>
      <c r="G32" s="85">
        <f t="shared" si="6"/>
        <v>2451.4600000000005</v>
      </c>
      <c r="H32" s="85">
        <v>90</v>
      </c>
      <c r="I32" s="86">
        <f t="shared" si="7"/>
        <v>1002.8700000000002</v>
      </c>
      <c r="J32" s="87">
        <f t="shared" si="8"/>
        <v>3454.3300000000008</v>
      </c>
      <c r="K32" s="349" t="s">
        <v>468</v>
      </c>
    </row>
    <row r="33" spans="1:11">
      <c r="A33" s="10"/>
      <c r="B33" s="81">
        <v>2</v>
      </c>
      <c r="C33" s="82" t="s">
        <v>212</v>
      </c>
      <c r="D33" s="83">
        <f>351.92*1.1</f>
        <v>387.11200000000002</v>
      </c>
      <c r="E33" s="10" t="s">
        <v>62</v>
      </c>
      <c r="F33" s="85">
        <v>650</v>
      </c>
      <c r="G33" s="85">
        <f>+F33*D33</f>
        <v>251622.80000000002</v>
      </c>
      <c r="H33" s="85">
        <v>150</v>
      </c>
      <c r="I33" s="86">
        <f>D33*H33</f>
        <v>58066.8</v>
      </c>
      <c r="J33" s="87">
        <f>G33+I33</f>
        <v>309689.60000000003</v>
      </c>
      <c r="K33" s="336"/>
    </row>
    <row r="34" spans="1:11" ht="22.5" thickBot="1">
      <c r="A34" s="421"/>
      <c r="B34" s="666" t="s">
        <v>130</v>
      </c>
      <c r="C34" s="667"/>
      <c r="D34" s="422"/>
      <c r="E34" s="421"/>
      <c r="F34" s="423"/>
      <c r="G34" s="424">
        <f>SUM(G27:G33)</f>
        <v>618792.5</v>
      </c>
      <c r="H34" s="423"/>
      <c r="I34" s="424">
        <f>SUM(I27:I33)</f>
        <v>205010.58000000002</v>
      </c>
      <c r="J34" s="425">
        <f>SUM(J27:J33)</f>
        <v>823803.08000000007</v>
      </c>
      <c r="K34" s="426"/>
    </row>
    <row r="35" spans="1:11">
      <c r="A35" s="416">
        <v>1.3</v>
      </c>
      <c r="B35" s="664" t="s">
        <v>64</v>
      </c>
      <c r="C35" s="665"/>
      <c r="D35" s="417"/>
      <c r="E35" s="416"/>
      <c r="F35" s="418"/>
      <c r="G35" s="418"/>
      <c r="H35" s="418"/>
      <c r="I35" s="418"/>
      <c r="J35" s="418"/>
      <c r="K35" s="419"/>
    </row>
    <row r="36" spans="1:11">
      <c r="A36" s="10"/>
      <c r="B36" s="81" t="s">
        <v>80</v>
      </c>
      <c r="C36" s="82" t="s">
        <v>558</v>
      </c>
      <c r="D36" s="335">
        <f>1336.95*1.2</f>
        <v>1604.34</v>
      </c>
      <c r="E36" s="10" t="s">
        <v>62</v>
      </c>
      <c r="F36" s="85">
        <v>45</v>
      </c>
      <c r="G36" s="85">
        <f>+F36*D36</f>
        <v>72195.3</v>
      </c>
      <c r="H36" s="85">
        <v>35</v>
      </c>
      <c r="I36" s="86">
        <f>D36*H36</f>
        <v>56151.899999999994</v>
      </c>
      <c r="J36" s="87">
        <f>G36+I36</f>
        <v>128347.2</v>
      </c>
      <c r="K36" s="336"/>
    </row>
    <row r="37" spans="1:11">
      <c r="A37" s="10"/>
      <c r="B37" s="81">
        <v>1</v>
      </c>
      <c r="C37" s="82" t="s">
        <v>246</v>
      </c>
      <c r="D37" s="335">
        <f>38.03*1.1</f>
        <v>41.833000000000006</v>
      </c>
      <c r="E37" s="84" t="s">
        <v>62</v>
      </c>
      <c r="F37" s="85">
        <f>285+75</f>
        <v>360</v>
      </c>
      <c r="G37" s="85">
        <f t="shared" ref="G37:G57" si="12">+F37*D37</f>
        <v>15059.880000000003</v>
      </c>
      <c r="H37" s="85">
        <v>200</v>
      </c>
      <c r="I37" s="86">
        <f t="shared" ref="I37:I57" si="13">D37*H37</f>
        <v>8366.6</v>
      </c>
      <c r="J37" s="87">
        <f t="shared" ref="J37:J57" si="14">G37+I37</f>
        <v>23426.480000000003</v>
      </c>
      <c r="K37" s="336"/>
    </row>
    <row r="38" spans="1:11" ht="207.75" customHeight="1">
      <c r="A38" s="10"/>
      <c r="B38" s="81">
        <v>2</v>
      </c>
      <c r="C38" s="82" t="s">
        <v>556</v>
      </c>
      <c r="D38" s="335">
        <f>398.97*1.1</f>
        <v>438.86700000000008</v>
      </c>
      <c r="E38" s="84" t="s">
        <v>62</v>
      </c>
      <c r="F38" s="85">
        <v>750</v>
      </c>
      <c r="G38" s="85">
        <f t="shared" si="12"/>
        <v>329150.25000000006</v>
      </c>
      <c r="H38" s="85">
        <v>200</v>
      </c>
      <c r="I38" s="86">
        <f t="shared" si="13"/>
        <v>87773.400000000009</v>
      </c>
      <c r="J38" s="87">
        <f t="shared" si="14"/>
        <v>416923.65000000008</v>
      </c>
      <c r="K38" s="336" t="s">
        <v>227</v>
      </c>
    </row>
    <row r="39" spans="1:11" ht="43.5">
      <c r="A39" s="10"/>
      <c r="B39" s="81">
        <v>3</v>
      </c>
      <c r="C39" s="82" t="s">
        <v>543</v>
      </c>
      <c r="D39" s="335">
        <f>519.95*1.1</f>
        <v>571.94500000000005</v>
      </c>
      <c r="E39" s="84" t="s">
        <v>62</v>
      </c>
      <c r="F39" s="85">
        <v>2450</v>
      </c>
      <c r="G39" s="85">
        <f t="shared" si="12"/>
        <v>1401265.2500000002</v>
      </c>
      <c r="H39" s="85">
        <v>300</v>
      </c>
      <c r="I39" s="86">
        <f t="shared" si="13"/>
        <v>171583.50000000003</v>
      </c>
      <c r="J39" s="87">
        <f t="shared" si="14"/>
        <v>1572848.7500000002</v>
      </c>
      <c r="K39" s="336" t="s">
        <v>227</v>
      </c>
    </row>
    <row r="40" spans="1:11" ht="43.5">
      <c r="A40" s="10"/>
      <c r="B40" s="81" t="s">
        <v>213</v>
      </c>
      <c r="C40" s="82" t="s">
        <v>544</v>
      </c>
      <c r="D40" s="335">
        <f>4.86*1.1</f>
        <v>5.346000000000001</v>
      </c>
      <c r="E40" s="84" t="s">
        <v>62</v>
      </c>
      <c r="F40" s="85">
        <v>2450</v>
      </c>
      <c r="G40" s="85">
        <f t="shared" si="12"/>
        <v>13097.700000000003</v>
      </c>
      <c r="H40" s="85">
        <v>300</v>
      </c>
      <c r="I40" s="86">
        <f t="shared" si="13"/>
        <v>1603.8000000000002</v>
      </c>
      <c r="J40" s="87">
        <f t="shared" si="14"/>
        <v>14701.500000000004</v>
      </c>
      <c r="K40" s="336" t="s">
        <v>228</v>
      </c>
    </row>
    <row r="41" spans="1:11" ht="43.5">
      <c r="A41" s="339"/>
      <c r="B41" s="340" t="s">
        <v>214</v>
      </c>
      <c r="C41" s="341" t="s">
        <v>545</v>
      </c>
      <c r="D41" s="342">
        <v>0</v>
      </c>
      <c r="E41" s="343" t="s">
        <v>62</v>
      </c>
      <c r="F41" s="344">
        <v>2450</v>
      </c>
      <c r="G41" s="344">
        <f t="shared" si="12"/>
        <v>0</v>
      </c>
      <c r="H41" s="344">
        <v>300</v>
      </c>
      <c r="I41" s="345">
        <f t="shared" si="13"/>
        <v>0</v>
      </c>
      <c r="J41" s="346">
        <f t="shared" si="14"/>
        <v>0</v>
      </c>
      <c r="K41" s="347" t="s">
        <v>229</v>
      </c>
    </row>
    <row r="42" spans="1:11" ht="43.5">
      <c r="A42" s="339"/>
      <c r="B42" s="340" t="s">
        <v>215</v>
      </c>
      <c r="C42" s="341" t="s">
        <v>546</v>
      </c>
      <c r="D42" s="342">
        <v>0</v>
      </c>
      <c r="E42" s="343" t="s">
        <v>62</v>
      </c>
      <c r="F42" s="344">
        <v>2450</v>
      </c>
      <c r="G42" s="344">
        <f t="shared" si="12"/>
        <v>0</v>
      </c>
      <c r="H42" s="344">
        <v>300</v>
      </c>
      <c r="I42" s="345">
        <f t="shared" si="13"/>
        <v>0</v>
      </c>
      <c r="J42" s="346">
        <f t="shared" si="14"/>
        <v>0</v>
      </c>
      <c r="K42" s="347" t="s">
        <v>230</v>
      </c>
    </row>
    <row r="43" spans="1:11" ht="43.5">
      <c r="A43" s="339"/>
      <c r="B43" s="340" t="s">
        <v>216</v>
      </c>
      <c r="C43" s="341" t="s">
        <v>551</v>
      </c>
      <c r="D43" s="342">
        <v>0</v>
      </c>
      <c r="E43" s="343" t="s">
        <v>62</v>
      </c>
      <c r="F43" s="344">
        <v>2450</v>
      </c>
      <c r="G43" s="344">
        <f t="shared" si="12"/>
        <v>0</v>
      </c>
      <c r="H43" s="344">
        <v>300</v>
      </c>
      <c r="I43" s="345">
        <f t="shared" si="13"/>
        <v>0</v>
      </c>
      <c r="J43" s="346">
        <f t="shared" si="14"/>
        <v>0</v>
      </c>
      <c r="K43" s="347" t="s">
        <v>231</v>
      </c>
    </row>
    <row r="44" spans="1:11" ht="43.5">
      <c r="A44" s="10"/>
      <c r="B44" s="81" t="s">
        <v>217</v>
      </c>
      <c r="C44" s="82" t="s">
        <v>557</v>
      </c>
      <c r="D44" s="335">
        <f>8.43*2*1.1</f>
        <v>18.545999999999999</v>
      </c>
      <c r="E44" s="84" t="s">
        <v>62</v>
      </c>
      <c r="F44" s="85">
        <v>2450</v>
      </c>
      <c r="G44" s="85">
        <f t="shared" si="12"/>
        <v>45437.7</v>
      </c>
      <c r="H44" s="85">
        <v>300</v>
      </c>
      <c r="I44" s="86">
        <f t="shared" si="13"/>
        <v>5563.8</v>
      </c>
      <c r="J44" s="87">
        <f t="shared" si="14"/>
        <v>51001.5</v>
      </c>
      <c r="K44" s="336"/>
    </row>
    <row r="45" spans="1:11" ht="43.5">
      <c r="A45" s="10"/>
      <c r="B45" s="81" t="s">
        <v>218</v>
      </c>
      <c r="C45" s="82" t="s">
        <v>547</v>
      </c>
      <c r="D45" s="335">
        <f>16.49*1.1</f>
        <v>18.138999999999999</v>
      </c>
      <c r="E45" s="84" t="s">
        <v>62</v>
      </c>
      <c r="F45" s="85">
        <v>2450</v>
      </c>
      <c r="G45" s="85">
        <f t="shared" si="12"/>
        <v>44440.549999999996</v>
      </c>
      <c r="H45" s="85">
        <v>300</v>
      </c>
      <c r="I45" s="86">
        <f t="shared" si="13"/>
        <v>5441.7</v>
      </c>
      <c r="J45" s="87">
        <f t="shared" si="14"/>
        <v>49882.249999999993</v>
      </c>
      <c r="K45" s="336"/>
    </row>
    <row r="46" spans="1:11" ht="43.5">
      <c r="A46" s="10"/>
      <c r="B46" s="81" t="s">
        <v>247</v>
      </c>
      <c r="C46" s="82" t="s">
        <v>548</v>
      </c>
      <c r="D46" s="335">
        <f>1.5*1.1</f>
        <v>1.6500000000000001</v>
      </c>
      <c r="E46" s="84" t="s">
        <v>62</v>
      </c>
      <c r="F46" s="85">
        <v>2450</v>
      </c>
      <c r="G46" s="85">
        <f t="shared" si="12"/>
        <v>4042.5000000000005</v>
      </c>
      <c r="H46" s="85">
        <v>300</v>
      </c>
      <c r="I46" s="86">
        <f t="shared" si="13"/>
        <v>495.00000000000006</v>
      </c>
      <c r="J46" s="87">
        <f t="shared" si="14"/>
        <v>4537.5000000000009</v>
      </c>
      <c r="K46" s="336"/>
    </row>
    <row r="47" spans="1:11" ht="43.5">
      <c r="A47" s="10"/>
      <c r="B47" s="81">
        <v>4</v>
      </c>
      <c r="C47" s="82" t="s">
        <v>248</v>
      </c>
      <c r="D47" s="335">
        <f>43.27*1.1</f>
        <v>47.597000000000008</v>
      </c>
      <c r="E47" s="84" t="s">
        <v>62</v>
      </c>
      <c r="F47" s="85">
        <v>2450</v>
      </c>
      <c r="G47" s="85">
        <f t="shared" si="12"/>
        <v>116612.65000000002</v>
      </c>
      <c r="H47" s="85">
        <v>300</v>
      </c>
      <c r="I47" s="86">
        <f t="shared" si="13"/>
        <v>14279.100000000002</v>
      </c>
      <c r="J47" s="87">
        <f t="shared" si="14"/>
        <v>130891.75000000003</v>
      </c>
      <c r="K47" s="336"/>
    </row>
    <row r="48" spans="1:11" ht="108.75" customHeight="1">
      <c r="A48" s="10"/>
      <c r="B48" s="81">
        <v>5</v>
      </c>
      <c r="C48" s="82" t="s">
        <v>261</v>
      </c>
      <c r="D48" s="335">
        <v>9.1999999999999993</v>
      </c>
      <c r="E48" s="84" t="s">
        <v>62</v>
      </c>
      <c r="F48" s="85">
        <v>3450</v>
      </c>
      <c r="G48" s="85">
        <f t="shared" si="12"/>
        <v>31739.999999999996</v>
      </c>
      <c r="H48" s="85">
        <v>350</v>
      </c>
      <c r="I48" s="86">
        <f t="shared" si="13"/>
        <v>3219.9999999999995</v>
      </c>
      <c r="J48" s="87">
        <f t="shared" si="14"/>
        <v>34959.999999999993</v>
      </c>
      <c r="K48" s="336"/>
    </row>
    <row r="49" spans="1:15">
      <c r="A49" s="10"/>
      <c r="B49" s="81" t="s">
        <v>249</v>
      </c>
      <c r="C49" s="82" t="s">
        <v>253</v>
      </c>
      <c r="D49" s="335">
        <f>22.3*2</f>
        <v>44.6</v>
      </c>
      <c r="E49" s="84" t="s">
        <v>62</v>
      </c>
      <c r="F49" s="85">
        <v>2850</v>
      </c>
      <c r="G49" s="85">
        <f t="shared" si="12"/>
        <v>127110</v>
      </c>
      <c r="H49" s="85">
        <v>300</v>
      </c>
      <c r="I49" s="86">
        <f t="shared" si="13"/>
        <v>13380</v>
      </c>
      <c r="J49" s="87">
        <f t="shared" si="14"/>
        <v>140490</v>
      </c>
      <c r="K49" s="336"/>
    </row>
    <row r="50" spans="1:15">
      <c r="A50" s="10"/>
      <c r="B50" s="81" t="s">
        <v>250</v>
      </c>
      <c r="C50" s="82" t="s">
        <v>254</v>
      </c>
      <c r="D50" s="335">
        <f>(36.92+24.33+24.33+24.33)*1.1</f>
        <v>120.90100000000001</v>
      </c>
      <c r="E50" s="84" t="s">
        <v>62</v>
      </c>
      <c r="F50" s="85">
        <v>2850</v>
      </c>
      <c r="G50" s="85">
        <f t="shared" si="12"/>
        <v>344567.85000000003</v>
      </c>
      <c r="H50" s="85">
        <v>300</v>
      </c>
      <c r="I50" s="86">
        <f t="shared" si="13"/>
        <v>36270.300000000003</v>
      </c>
      <c r="J50" s="87">
        <f t="shared" si="14"/>
        <v>380838.15</v>
      </c>
      <c r="K50" s="336"/>
    </row>
    <row r="51" spans="1:15">
      <c r="A51" s="10"/>
      <c r="B51" s="81" t="s">
        <v>251</v>
      </c>
      <c r="C51" s="82" t="s">
        <v>255</v>
      </c>
      <c r="D51" s="335">
        <f>(36.92+24.33+24.33+24.33)*1.1</f>
        <v>120.90100000000001</v>
      </c>
      <c r="E51" s="84" t="s">
        <v>62</v>
      </c>
      <c r="F51" s="85">
        <v>2850</v>
      </c>
      <c r="G51" s="85">
        <f t="shared" si="12"/>
        <v>344567.85000000003</v>
      </c>
      <c r="H51" s="85">
        <v>300</v>
      </c>
      <c r="I51" s="86">
        <f t="shared" si="13"/>
        <v>36270.300000000003</v>
      </c>
      <c r="J51" s="87">
        <f t="shared" si="14"/>
        <v>380838.15</v>
      </c>
      <c r="K51" s="336"/>
    </row>
    <row r="52" spans="1:15">
      <c r="A52" s="10"/>
      <c r="B52" s="81" t="s">
        <v>252</v>
      </c>
      <c r="C52" s="82" t="s">
        <v>256</v>
      </c>
      <c r="D52" s="335">
        <f>(24.92+24.33+24.33+24.33)*1.1</f>
        <v>107.70100000000001</v>
      </c>
      <c r="E52" s="84" t="s">
        <v>62</v>
      </c>
      <c r="F52" s="85">
        <v>2850</v>
      </c>
      <c r="G52" s="85">
        <f t="shared" si="12"/>
        <v>306947.85000000003</v>
      </c>
      <c r="H52" s="85">
        <v>300</v>
      </c>
      <c r="I52" s="86">
        <f t="shared" si="13"/>
        <v>32310.300000000003</v>
      </c>
      <c r="J52" s="87">
        <f t="shared" si="14"/>
        <v>339258.15</v>
      </c>
      <c r="K52" s="336"/>
    </row>
    <row r="53" spans="1:15" ht="43.5">
      <c r="A53" s="10"/>
      <c r="B53" s="81" t="s">
        <v>219</v>
      </c>
      <c r="C53" s="82" t="s">
        <v>553</v>
      </c>
      <c r="D53" s="335">
        <v>4.2</v>
      </c>
      <c r="E53" s="84" t="s">
        <v>62</v>
      </c>
      <c r="F53" s="85">
        <v>2850</v>
      </c>
      <c r="G53" s="85">
        <f t="shared" si="12"/>
        <v>11970</v>
      </c>
      <c r="H53" s="85">
        <v>300</v>
      </c>
      <c r="I53" s="86">
        <f t="shared" si="13"/>
        <v>1260</v>
      </c>
      <c r="J53" s="87">
        <f t="shared" si="14"/>
        <v>13230</v>
      </c>
      <c r="K53" s="336"/>
    </row>
    <row r="54" spans="1:15" ht="43.5">
      <c r="A54" s="10"/>
      <c r="B54" s="81" t="s">
        <v>220</v>
      </c>
      <c r="C54" s="82" t="s">
        <v>552</v>
      </c>
      <c r="D54" s="335">
        <v>5.75</v>
      </c>
      <c r="E54" s="84" t="s">
        <v>62</v>
      </c>
      <c r="F54" s="85">
        <v>2850</v>
      </c>
      <c r="G54" s="85">
        <f t="shared" si="12"/>
        <v>16387.5</v>
      </c>
      <c r="H54" s="85">
        <v>300</v>
      </c>
      <c r="I54" s="86">
        <f t="shared" si="13"/>
        <v>1725</v>
      </c>
      <c r="J54" s="87">
        <f t="shared" si="14"/>
        <v>18112.5</v>
      </c>
      <c r="K54" s="336"/>
    </row>
    <row r="55" spans="1:15" ht="43.5">
      <c r="A55" s="10"/>
      <c r="B55" s="81" t="s">
        <v>221</v>
      </c>
      <c r="C55" s="82" t="s">
        <v>554</v>
      </c>
      <c r="D55" s="335">
        <v>5.25</v>
      </c>
      <c r="E55" s="84" t="s">
        <v>62</v>
      </c>
      <c r="F55" s="85">
        <v>2850</v>
      </c>
      <c r="G55" s="85">
        <f t="shared" si="12"/>
        <v>14962.5</v>
      </c>
      <c r="H55" s="85">
        <v>300</v>
      </c>
      <c r="I55" s="86">
        <f t="shared" si="13"/>
        <v>1575</v>
      </c>
      <c r="J55" s="87">
        <f t="shared" si="14"/>
        <v>16537.5</v>
      </c>
      <c r="K55" s="336"/>
    </row>
    <row r="56" spans="1:15" ht="43.5">
      <c r="A56" s="10"/>
      <c r="B56" s="81" t="s">
        <v>222</v>
      </c>
      <c r="C56" s="82" t="s">
        <v>555</v>
      </c>
      <c r="D56" s="335">
        <v>3.1</v>
      </c>
      <c r="E56" s="84" t="s">
        <v>62</v>
      </c>
      <c r="F56" s="85">
        <v>2850</v>
      </c>
      <c r="G56" s="85">
        <f t="shared" si="12"/>
        <v>8835</v>
      </c>
      <c r="H56" s="85">
        <v>300</v>
      </c>
      <c r="I56" s="86">
        <f t="shared" si="13"/>
        <v>930</v>
      </c>
      <c r="J56" s="87">
        <f t="shared" si="14"/>
        <v>9765</v>
      </c>
      <c r="K56" s="336"/>
    </row>
    <row r="57" spans="1:15" ht="43.5" customHeight="1">
      <c r="A57" s="10"/>
      <c r="B57" s="81"/>
      <c r="C57" s="82" t="s">
        <v>223</v>
      </c>
      <c r="D57" s="335">
        <v>653</v>
      </c>
      <c r="E57" s="84" t="s">
        <v>95</v>
      </c>
      <c r="F57" s="85">
        <v>295</v>
      </c>
      <c r="G57" s="85">
        <f t="shared" si="12"/>
        <v>192635</v>
      </c>
      <c r="H57" s="85">
        <v>50</v>
      </c>
      <c r="I57" s="86">
        <f t="shared" si="13"/>
        <v>32650</v>
      </c>
      <c r="J57" s="87">
        <f t="shared" si="14"/>
        <v>225285</v>
      </c>
      <c r="K57" s="336"/>
    </row>
    <row r="58" spans="1:15" ht="22.5" thickBot="1">
      <c r="A58" s="421"/>
      <c r="B58" s="666" t="s">
        <v>71</v>
      </c>
      <c r="C58" s="667"/>
      <c r="D58" s="422"/>
      <c r="E58" s="421"/>
      <c r="F58" s="423"/>
      <c r="G58" s="425">
        <f t="shared" ref="G58:I58" si="15">SUM(G36:G57)</f>
        <v>3441025.3300000005</v>
      </c>
      <c r="H58" s="425"/>
      <c r="I58" s="425">
        <f t="shared" si="15"/>
        <v>510849.69999999995</v>
      </c>
      <c r="J58" s="425">
        <f>SUM(J36:J57)</f>
        <v>3951875.03</v>
      </c>
      <c r="K58" s="426"/>
    </row>
    <row r="59" spans="1:15">
      <c r="A59" s="416">
        <v>1.4</v>
      </c>
      <c r="B59" s="664" t="s">
        <v>73</v>
      </c>
      <c r="C59" s="665"/>
      <c r="D59" s="417"/>
      <c r="E59" s="416"/>
      <c r="F59" s="418"/>
      <c r="G59" s="418"/>
      <c r="H59" s="418"/>
      <c r="I59" s="418"/>
      <c r="J59" s="418"/>
      <c r="K59" s="419"/>
    </row>
    <row r="60" spans="1:15">
      <c r="A60" s="10"/>
      <c r="B60" s="81">
        <v>1</v>
      </c>
      <c r="C60" s="82" t="s">
        <v>302</v>
      </c>
      <c r="D60" s="335">
        <f>(135.67*3*2*1.2)+1205.58</f>
        <v>2182.404</v>
      </c>
      <c r="E60" s="88" t="s">
        <v>74</v>
      </c>
      <c r="F60" s="85">
        <v>0</v>
      </c>
      <c r="G60" s="85">
        <f>+F60*D60</f>
        <v>0</v>
      </c>
      <c r="H60" s="85">
        <v>35</v>
      </c>
      <c r="I60" s="86">
        <f>D60*H60</f>
        <v>76384.14</v>
      </c>
      <c r="J60" s="87">
        <f>G60+I60</f>
        <v>76384.14</v>
      </c>
      <c r="K60" s="336"/>
    </row>
    <row r="61" spans="1:15" ht="203.25" customHeight="1">
      <c r="A61" s="10"/>
      <c r="B61" s="81">
        <v>2</v>
      </c>
      <c r="C61" s="82" t="s">
        <v>257</v>
      </c>
      <c r="D61" s="335">
        <v>765</v>
      </c>
      <c r="E61" s="88" t="s">
        <v>74</v>
      </c>
      <c r="F61" s="85">
        <v>340</v>
      </c>
      <c r="G61" s="85">
        <f t="shared" ref="G61:G65" si="16">+F61*D61</f>
        <v>260100</v>
      </c>
      <c r="H61" s="85">
        <v>105</v>
      </c>
      <c r="I61" s="86">
        <f t="shared" ref="I61:I65" si="17">D61*H61</f>
        <v>80325</v>
      </c>
      <c r="J61" s="87">
        <f t="shared" ref="J61:J65" si="18">G61+I61</f>
        <v>340425</v>
      </c>
      <c r="K61" s="336"/>
      <c r="N61" s="5">
        <v>465</v>
      </c>
    </row>
    <row r="62" spans="1:15" ht="50.25" customHeight="1">
      <c r="A62" s="10"/>
      <c r="B62" s="81">
        <v>3</v>
      </c>
      <c r="C62" s="82" t="s">
        <v>549</v>
      </c>
      <c r="D62" s="335">
        <f>(3.03+10.57)*1.1</f>
        <v>14.96</v>
      </c>
      <c r="E62" s="348" t="s">
        <v>74</v>
      </c>
      <c r="F62" s="85">
        <v>2500</v>
      </c>
      <c r="G62" s="85">
        <f t="shared" si="16"/>
        <v>37400</v>
      </c>
      <c r="H62" s="85">
        <v>350</v>
      </c>
      <c r="I62" s="86">
        <f t="shared" si="17"/>
        <v>5236</v>
      </c>
      <c r="J62" s="87">
        <f t="shared" si="18"/>
        <v>42636</v>
      </c>
      <c r="K62" s="336"/>
    </row>
    <row r="63" spans="1:15" ht="43.5">
      <c r="A63" s="10"/>
      <c r="B63" s="81">
        <v>4</v>
      </c>
      <c r="C63" s="82" t="s">
        <v>550</v>
      </c>
      <c r="D63" s="335">
        <f>35*1.1</f>
        <v>38.5</v>
      </c>
      <c r="E63" s="348" t="s">
        <v>74</v>
      </c>
      <c r="F63" s="85">
        <v>2500</v>
      </c>
      <c r="G63" s="85">
        <f t="shared" si="16"/>
        <v>96250</v>
      </c>
      <c r="H63" s="85">
        <v>350</v>
      </c>
      <c r="I63" s="86">
        <f t="shared" si="17"/>
        <v>13475</v>
      </c>
      <c r="J63" s="87">
        <f t="shared" si="18"/>
        <v>109725</v>
      </c>
      <c r="K63" s="336"/>
    </row>
    <row r="64" spans="1:15" ht="191.25" customHeight="1">
      <c r="A64" s="10"/>
      <c r="B64" s="81">
        <v>5</v>
      </c>
      <c r="C64" s="82" t="s">
        <v>522</v>
      </c>
      <c r="D64" s="335">
        <v>600</v>
      </c>
      <c r="E64" s="348" t="s">
        <v>74</v>
      </c>
      <c r="F64" s="85">
        <v>395</v>
      </c>
      <c r="G64" s="85">
        <f t="shared" si="16"/>
        <v>237000</v>
      </c>
      <c r="H64" s="85">
        <v>95</v>
      </c>
      <c r="I64" s="86">
        <f t="shared" si="17"/>
        <v>57000</v>
      </c>
      <c r="J64" s="87">
        <f t="shared" si="18"/>
        <v>294000</v>
      </c>
      <c r="K64" s="336" t="s">
        <v>231</v>
      </c>
      <c r="O64" s="5">
        <v>395</v>
      </c>
    </row>
    <row r="65" spans="1:11" ht="98.25" customHeight="1">
      <c r="A65" s="10"/>
      <c r="B65" s="81" t="s">
        <v>436</v>
      </c>
      <c r="C65" s="82" t="s">
        <v>520</v>
      </c>
      <c r="D65" s="335">
        <v>285</v>
      </c>
      <c r="E65" s="348" t="s">
        <v>74</v>
      </c>
      <c r="F65" s="85">
        <v>287</v>
      </c>
      <c r="G65" s="85">
        <f t="shared" si="16"/>
        <v>81795</v>
      </c>
      <c r="H65" s="85">
        <v>45</v>
      </c>
      <c r="I65" s="86">
        <f t="shared" si="17"/>
        <v>12825</v>
      </c>
      <c r="J65" s="87">
        <f t="shared" si="18"/>
        <v>94620</v>
      </c>
      <c r="K65" s="336" t="s">
        <v>231</v>
      </c>
    </row>
    <row r="66" spans="1:11" ht="22.5" thickBot="1">
      <c r="A66" s="421"/>
      <c r="B66" s="666" t="s">
        <v>129</v>
      </c>
      <c r="C66" s="667"/>
      <c r="D66" s="422"/>
      <c r="E66" s="421"/>
      <c r="F66" s="423"/>
      <c r="G66" s="424">
        <f>SUM(G60:G65)</f>
        <v>712545</v>
      </c>
      <c r="H66" s="425"/>
      <c r="I66" s="425">
        <f t="shared" ref="I66" si="19">SUM(I60:I65)</f>
        <v>245245.14</v>
      </c>
      <c r="J66" s="425">
        <f>SUM(J60:J65)</f>
        <v>957790.14</v>
      </c>
      <c r="K66" s="426"/>
    </row>
    <row r="67" spans="1:11">
      <c r="A67" s="416">
        <v>1.5</v>
      </c>
      <c r="B67" s="664" t="s">
        <v>65</v>
      </c>
      <c r="C67" s="665"/>
      <c r="D67" s="417"/>
      <c r="E67" s="416"/>
      <c r="F67" s="418"/>
      <c r="G67" s="418"/>
      <c r="H67" s="418"/>
      <c r="I67" s="418"/>
      <c r="J67" s="418"/>
      <c r="K67" s="419"/>
    </row>
    <row r="68" spans="1:11">
      <c r="A68" s="10"/>
      <c r="B68" s="81" t="s">
        <v>80</v>
      </c>
      <c r="C68" s="82" t="s">
        <v>193</v>
      </c>
      <c r="D68" s="335">
        <v>16</v>
      </c>
      <c r="E68" s="10" t="s">
        <v>60</v>
      </c>
      <c r="F68" s="85">
        <v>14500</v>
      </c>
      <c r="G68" s="85">
        <f t="shared" ref="G68:G89" si="20">+F68*D68</f>
        <v>232000</v>
      </c>
      <c r="H68" s="85">
        <v>0</v>
      </c>
      <c r="I68" s="86">
        <f t="shared" ref="I68:I89" si="21">D68*H68</f>
        <v>0</v>
      </c>
      <c r="J68" s="87">
        <f t="shared" ref="J68:J89" si="22">G68+I68</f>
        <v>232000</v>
      </c>
      <c r="K68" s="336" t="s">
        <v>93</v>
      </c>
    </row>
    <row r="69" spans="1:11">
      <c r="A69" s="10"/>
      <c r="B69" s="81" t="s">
        <v>80</v>
      </c>
      <c r="C69" s="82" t="s">
        <v>258</v>
      </c>
      <c r="D69" s="335">
        <v>1</v>
      </c>
      <c r="E69" s="10" t="s">
        <v>60</v>
      </c>
      <c r="F69" s="85">
        <v>13500</v>
      </c>
      <c r="G69" s="85">
        <f t="shared" si="20"/>
        <v>13500</v>
      </c>
      <c r="H69" s="85">
        <v>0</v>
      </c>
      <c r="I69" s="86">
        <f t="shared" si="21"/>
        <v>0</v>
      </c>
      <c r="J69" s="87">
        <f t="shared" si="22"/>
        <v>13500</v>
      </c>
      <c r="K69" s="336" t="s">
        <v>93</v>
      </c>
    </row>
    <row r="70" spans="1:11">
      <c r="A70" s="10"/>
      <c r="B70" s="81" t="s">
        <v>80</v>
      </c>
      <c r="C70" s="82" t="s">
        <v>195</v>
      </c>
      <c r="D70" s="335">
        <v>1</v>
      </c>
      <c r="E70" s="10" t="s">
        <v>60</v>
      </c>
      <c r="F70" s="85">
        <v>13500</v>
      </c>
      <c r="G70" s="85">
        <f t="shared" si="20"/>
        <v>13500</v>
      </c>
      <c r="H70" s="85">
        <v>0</v>
      </c>
      <c r="I70" s="86">
        <f t="shared" si="21"/>
        <v>0</v>
      </c>
      <c r="J70" s="87">
        <f t="shared" si="22"/>
        <v>13500</v>
      </c>
      <c r="K70" s="336" t="s">
        <v>93</v>
      </c>
    </row>
    <row r="71" spans="1:11">
      <c r="A71" s="10"/>
      <c r="B71" s="81" t="s">
        <v>80</v>
      </c>
      <c r="C71" s="82" t="s">
        <v>196</v>
      </c>
      <c r="D71" s="335">
        <v>2</v>
      </c>
      <c r="E71" s="10" t="s">
        <v>60</v>
      </c>
      <c r="F71" s="85">
        <v>13500</v>
      </c>
      <c r="G71" s="85">
        <f t="shared" si="20"/>
        <v>27000</v>
      </c>
      <c r="H71" s="85">
        <v>0</v>
      </c>
      <c r="I71" s="86">
        <f t="shared" si="21"/>
        <v>0</v>
      </c>
      <c r="J71" s="87">
        <f t="shared" si="22"/>
        <v>27000</v>
      </c>
      <c r="K71" s="336" t="s">
        <v>93</v>
      </c>
    </row>
    <row r="72" spans="1:11">
      <c r="A72" s="10"/>
      <c r="B72" s="81" t="s">
        <v>80</v>
      </c>
      <c r="C72" s="82" t="s">
        <v>197</v>
      </c>
      <c r="D72" s="335">
        <v>2</v>
      </c>
      <c r="E72" s="10" t="s">
        <v>60</v>
      </c>
      <c r="F72" s="85">
        <v>13500</v>
      </c>
      <c r="G72" s="85">
        <f t="shared" si="20"/>
        <v>27000</v>
      </c>
      <c r="H72" s="85">
        <v>0</v>
      </c>
      <c r="I72" s="86">
        <f t="shared" si="21"/>
        <v>0</v>
      </c>
      <c r="J72" s="87">
        <f t="shared" si="22"/>
        <v>27000</v>
      </c>
      <c r="K72" s="336" t="s">
        <v>93</v>
      </c>
    </row>
    <row r="73" spans="1:11">
      <c r="A73" s="10"/>
      <c r="B73" s="81" t="s">
        <v>80</v>
      </c>
      <c r="C73" s="82" t="s">
        <v>198</v>
      </c>
      <c r="D73" s="335">
        <v>3</v>
      </c>
      <c r="E73" s="10" t="s">
        <v>60</v>
      </c>
      <c r="F73" s="85">
        <v>13500</v>
      </c>
      <c r="G73" s="85">
        <f t="shared" si="20"/>
        <v>40500</v>
      </c>
      <c r="H73" s="85">
        <v>0</v>
      </c>
      <c r="I73" s="86">
        <f t="shared" si="21"/>
        <v>0</v>
      </c>
      <c r="J73" s="87">
        <f t="shared" si="22"/>
        <v>40500</v>
      </c>
      <c r="K73" s="336" t="s">
        <v>93</v>
      </c>
    </row>
    <row r="74" spans="1:11">
      <c r="A74" s="10"/>
      <c r="B74" s="81" t="s">
        <v>80</v>
      </c>
      <c r="C74" s="82" t="s">
        <v>194</v>
      </c>
      <c r="D74" s="335">
        <v>10</v>
      </c>
      <c r="E74" s="10" t="s">
        <v>60</v>
      </c>
      <c r="F74" s="85">
        <v>14500</v>
      </c>
      <c r="G74" s="85">
        <f t="shared" si="20"/>
        <v>145000</v>
      </c>
      <c r="H74" s="85">
        <v>0</v>
      </c>
      <c r="I74" s="86">
        <f t="shared" si="21"/>
        <v>0</v>
      </c>
      <c r="J74" s="87">
        <f t="shared" si="22"/>
        <v>145000</v>
      </c>
      <c r="K74" s="336" t="s">
        <v>93</v>
      </c>
    </row>
    <row r="75" spans="1:11">
      <c r="A75" s="10"/>
      <c r="B75" s="81" t="s">
        <v>80</v>
      </c>
      <c r="C75" s="82" t="s">
        <v>202</v>
      </c>
      <c r="D75" s="335">
        <v>2</v>
      </c>
      <c r="E75" s="10" t="s">
        <v>60</v>
      </c>
      <c r="F75" s="85">
        <v>13500</v>
      </c>
      <c r="G75" s="85">
        <f t="shared" si="20"/>
        <v>27000</v>
      </c>
      <c r="H75" s="85">
        <v>0</v>
      </c>
      <c r="I75" s="86">
        <f t="shared" si="21"/>
        <v>0</v>
      </c>
      <c r="J75" s="87">
        <f t="shared" si="22"/>
        <v>27000</v>
      </c>
      <c r="K75" s="336" t="s">
        <v>93</v>
      </c>
    </row>
    <row r="76" spans="1:11">
      <c r="A76" s="10"/>
      <c r="B76" s="81" t="s">
        <v>80</v>
      </c>
      <c r="C76" s="82" t="s">
        <v>203</v>
      </c>
      <c r="D76" s="335">
        <v>2</v>
      </c>
      <c r="E76" s="10" t="s">
        <v>60</v>
      </c>
      <c r="F76" s="85">
        <v>13500</v>
      </c>
      <c r="G76" s="85">
        <f t="shared" si="20"/>
        <v>27000</v>
      </c>
      <c r="H76" s="85">
        <v>0</v>
      </c>
      <c r="I76" s="86">
        <f t="shared" si="21"/>
        <v>0</v>
      </c>
      <c r="J76" s="87">
        <f t="shared" si="22"/>
        <v>27000</v>
      </c>
      <c r="K76" s="336" t="s">
        <v>93</v>
      </c>
    </row>
    <row r="77" spans="1:11">
      <c r="A77" s="10"/>
      <c r="B77" s="81" t="s">
        <v>80</v>
      </c>
      <c r="C77" s="82" t="s">
        <v>204</v>
      </c>
      <c r="D77" s="335">
        <v>6</v>
      </c>
      <c r="E77" s="10" t="s">
        <v>60</v>
      </c>
      <c r="F77" s="85">
        <v>13500</v>
      </c>
      <c r="G77" s="85">
        <f t="shared" si="20"/>
        <v>81000</v>
      </c>
      <c r="H77" s="85">
        <v>0</v>
      </c>
      <c r="I77" s="86">
        <f t="shared" si="21"/>
        <v>0</v>
      </c>
      <c r="J77" s="87">
        <f t="shared" si="22"/>
        <v>81000</v>
      </c>
      <c r="K77" s="336" t="s">
        <v>93</v>
      </c>
    </row>
    <row r="78" spans="1:11" ht="94.5" customHeight="1">
      <c r="A78" s="10"/>
      <c r="B78" s="81" t="s">
        <v>80</v>
      </c>
      <c r="C78" s="82" t="s">
        <v>559</v>
      </c>
      <c r="D78" s="335">
        <v>1</v>
      </c>
      <c r="E78" s="10" t="s">
        <v>60</v>
      </c>
      <c r="F78" s="85">
        <v>420000</v>
      </c>
      <c r="G78" s="85">
        <f>+F78*D78</f>
        <v>420000</v>
      </c>
      <c r="H78" s="85">
        <v>37500</v>
      </c>
      <c r="I78" s="86">
        <f>D78*H78</f>
        <v>37500</v>
      </c>
      <c r="J78" s="87">
        <f>G78+I78</f>
        <v>457500</v>
      </c>
      <c r="K78" s="349" t="s">
        <v>304</v>
      </c>
    </row>
    <row r="79" spans="1:11">
      <c r="A79" s="10"/>
      <c r="B79" s="81" t="s">
        <v>80</v>
      </c>
      <c r="C79" s="82" t="s">
        <v>199</v>
      </c>
      <c r="D79" s="335">
        <v>1</v>
      </c>
      <c r="E79" s="10" t="s">
        <v>60</v>
      </c>
      <c r="F79" s="85">
        <v>14500</v>
      </c>
      <c r="G79" s="85">
        <f t="shared" ref="G79" si="23">+F79*D79</f>
        <v>14500</v>
      </c>
      <c r="H79" s="85">
        <v>0</v>
      </c>
      <c r="I79" s="86">
        <f t="shared" ref="I79" si="24">D79*H79</f>
        <v>0</v>
      </c>
      <c r="J79" s="87">
        <f t="shared" ref="J79" si="25">G79+I79</f>
        <v>14500</v>
      </c>
      <c r="K79" s="336" t="s">
        <v>93</v>
      </c>
    </row>
    <row r="80" spans="1:11">
      <c r="A80" s="10"/>
      <c r="B80" s="81" t="s">
        <v>80</v>
      </c>
      <c r="C80" s="82" t="s">
        <v>200</v>
      </c>
      <c r="D80" s="335">
        <v>1</v>
      </c>
      <c r="E80" s="10" t="s">
        <v>60</v>
      </c>
      <c r="F80" s="85">
        <v>14500</v>
      </c>
      <c r="G80" s="85">
        <f>+F80*D80</f>
        <v>14500</v>
      </c>
      <c r="H80" s="85">
        <v>0</v>
      </c>
      <c r="I80" s="86">
        <f>D80*H80</f>
        <v>0</v>
      </c>
      <c r="J80" s="87">
        <f>G80+I80</f>
        <v>14500</v>
      </c>
      <c r="K80" s="336" t="s">
        <v>93</v>
      </c>
    </row>
    <row r="81" spans="1:16">
      <c r="A81" s="10"/>
      <c r="B81" s="81" t="s">
        <v>80</v>
      </c>
      <c r="C81" s="82" t="s">
        <v>201</v>
      </c>
      <c r="D81" s="335">
        <v>1</v>
      </c>
      <c r="E81" s="10" t="s">
        <v>60</v>
      </c>
      <c r="F81" s="85">
        <v>14500</v>
      </c>
      <c r="G81" s="85">
        <f>+F81*D81</f>
        <v>14500</v>
      </c>
      <c r="H81" s="85">
        <v>0</v>
      </c>
      <c r="I81" s="86">
        <f>D81*H81</f>
        <v>0</v>
      </c>
      <c r="J81" s="87">
        <f>G81+I81</f>
        <v>14500</v>
      </c>
      <c r="K81" s="336" t="s">
        <v>93</v>
      </c>
    </row>
    <row r="82" spans="1:16">
      <c r="A82" s="10"/>
      <c r="B82" s="81" t="s">
        <v>80</v>
      </c>
      <c r="C82" s="82" t="s">
        <v>205</v>
      </c>
      <c r="D82" s="335">
        <v>52</v>
      </c>
      <c r="E82" s="10" t="s">
        <v>60</v>
      </c>
      <c r="F82" s="85">
        <v>11500</v>
      </c>
      <c r="G82" s="85">
        <f t="shared" si="20"/>
        <v>598000</v>
      </c>
      <c r="H82" s="85">
        <v>0</v>
      </c>
      <c r="I82" s="86">
        <f t="shared" si="21"/>
        <v>0</v>
      </c>
      <c r="J82" s="87">
        <f t="shared" si="22"/>
        <v>598000</v>
      </c>
      <c r="K82" s="336" t="s">
        <v>93</v>
      </c>
    </row>
    <row r="83" spans="1:16">
      <c r="A83" s="10"/>
      <c r="B83" s="81" t="s">
        <v>80</v>
      </c>
      <c r="C83" s="82" t="s">
        <v>206</v>
      </c>
      <c r="D83" s="335">
        <v>2</v>
      </c>
      <c r="E83" s="10" t="s">
        <v>60</v>
      </c>
      <c r="F83" s="85">
        <v>8050</v>
      </c>
      <c r="G83" s="85">
        <f t="shared" si="20"/>
        <v>16100</v>
      </c>
      <c r="H83" s="85">
        <v>0</v>
      </c>
      <c r="I83" s="86">
        <f t="shared" si="21"/>
        <v>0</v>
      </c>
      <c r="J83" s="87">
        <f t="shared" si="22"/>
        <v>16100</v>
      </c>
      <c r="K83" s="336" t="s">
        <v>93</v>
      </c>
    </row>
    <row r="84" spans="1:16">
      <c r="A84" s="10"/>
      <c r="B84" s="81" t="s">
        <v>80</v>
      </c>
      <c r="C84" s="82" t="s">
        <v>207</v>
      </c>
      <c r="D84" s="335">
        <v>6</v>
      </c>
      <c r="E84" s="10" t="s">
        <v>60</v>
      </c>
      <c r="F84" s="85">
        <v>1250</v>
      </c>
      <c r="G84" s="85">
        <f t="shared" si="20"/>
        <v>7500</v>
      </c>
      <c r="H84" s="85">
        <v>0</v>
      </c>
      <c r="I84" s="86">
        <f t="shared" si="21"/>
        <v>0</v>
      </c>
      <c r="J84" s="87">
        <f t="shared" si="22"/>
        <v>7500</v>
      </c>
      <c r="K84" s="336" t="s">
        <v>93</v>
      </c>
    </row>
    <row r="85" spans="1:16">
      <c r="A85" s="10"/>
      <c r="B85" s="81" t="s">
        <v>80</v>
      </c>
      <c r="C85" s="82" t="s">
        <v>208</v>
      </c>
      <c r="D85" s="335">
        <v>6</v>
      </c>
      <c r="E85" s="10" t="s">
        <v>60</v>
      </c>
      <c r="F85" s="85">
        <v>2250</v>
      </c>
      <c r="G85" s="85">
        <f t="shared" si="20"/>
        <v>13500</v>
      </c>
      <c r="H85" s="85">
        <v>0</v>
      </c>
      <c r="I85" s="86">
        <f t="shared" si="21"/>
        <v>0</v>
      </c>
      <c r="J85" s="87">
        <f t="shared" si="22"/>
        <v>13500</v>
      </c>
      <c r="K85" s="336" t="s">
        <v>93</v>
      </c>
    </row>
    <row r="86" spans="1:16">
      <c r="A86" s="10"/>
      <c r="B86" s="81" t="s">
        <v>80</v>
      </c>
      <c r="C86" s="82" t="s">
        <v>209</v>
      </c>
      <c r="D86" s="335">
        <v>14</v>
      </c>
      <c r="E86" s="10" t="s">
        <v>60</v>
      </c>
      <c r="F86" s="85">
        <v>5145</v>
      </c>
      <c r="G86" s="85">
        <f t="shared" si="20"/>
        <v>72030</v>
      </c>
      <c r="H86" s="85">
        <v>0</v>
      </c>
      <c r="I86" s="86">
        <f t="shared" si="21"/>
        <v>0</v>
      </c>
      <c r="J86" s="87">
        <f t="shared" si="22"/>
        <v>72030</v>
      </c>
      <c r="K86" s="336" t="s">
        <v>93</v>
      </c>
    </row>
    <row r="87" spans="1:16">
      <c r="A87" s="10"/>
      <c r="B87" s="81" t="s">
        <v>80</v>
      </c>
      <c r="C87" s="82" t="s">
        <v>210</v>
      </c>
      <c r="D87" s="335">
        <v>4</v>
      </c>
      <c r="E87" s="10" t="s">
        <v>60</v>
      </c>
      <c r="F87" s="85">
        <v>21350</v>
      </c>
      <c r="G87" s="85">
        <f t="shared" si="20"/>
        <v>85400</v>
      </c>
      <c r="H87" s="85">
        <v>0</v>
      </c>
      <c r="I87" s="86">
        <f t="shared" si="21"/>
        <v>0</v>
      </c>
      <c r="J87" s="87">
        <f t="shared" si="22"/>
        <v>85400</v>
      </c>
      <c r="K87" s="336" t="s">
        <v>93</v>
      </c>
    </row>
    <row r="88" spans="1:16">
      <c r="A88" s="10"/>
      <c r="B88" s="81" t="s">
        <v>80</v>
      </c>
      <c r="C88" s="82" t="s">
        <v>211</v>
      </c>
      <c r="D88" s="335">
        <v>50</v>
      </c>
      <c r="E88" s="10" t="s">
        <v>60</v>
      </c>
      <c r="F88" s="85">
        <v>5000</v>
      </c>
      <c r="G88" s="85">
        <f t="shared" si="20"/>
        <v>250000</v>
      </c>
      <c r="H88" s="85">
        <v>0</v>
      </c>
      <c r="I88" s="86">
        <f t="shared" si="21"/>
        <v>0</v>
      </c>
      <c r="J88" s="87">
        <f t="shared" si="22"/>
        <v>250000</v>
      </c>
      <c r="K88" s="336" t="s">
        <v>93</v>
      </c>
    </row>
    <row r="89" spans="1:16" ht="43.5">
      <c r="A89" s="10"/>
      <c r="B89" s="81" t="s">
        <v>192</v>
      </c>
      <c r="C89" s="82" t="s">
        <v>305</v>
      </c>
      <c r="D89" s="335">
        <v>25</v>
      </c>
      <c r="E89" s="10" t="s">
        <v>60</v>
      </c>
      <c r="F89" s="85">
        <v>850</v>
      </c>
      <c r="G89" s="85">
        <f t="shared" si="20"/>
        <v>21250</v>
      </c>
      <c r="H89" s="85">
        <v>0</v>
      </c>
      <c r="I89" s="86">
        <f t="shared" si="21"/>
        <v>0</v>
      </c>
      <c r="J89" s="87">
        <f t="shared" si="22"/>
        <v>21250</v>
      </c>
      <c r="K89" s="336" t="s">
        <v>93</v>
      </c>
    </row>
    <row r="90" spans="1:16" ht="22.5" thickBot="1">
      <c r="A90" s="421"/>
      <c r="B90" s="666" t="s">
        <v>72</v>
      </c>
      <c r="C90" s="667"/>
      <c r="D90" s="422"/>
      <c r="E90" s="421"/>
      <c r="F90" s="423"/>
      <c r="G90" s="425">
        <f>SUM(G68:G89)</f>
        <v>2160780</v>
      </c>
      <c r="H90" s="425"/>
      <c r="I90" s="425">
        <f>SUM(I68:I89)</f>
        <v>37500</v>
      </c>
      <c r="J90" s="425">
        <f>SUM(J68:J89)</f>
        <v>2198280</v>
      </c>
      <c r="K90" s="426"/>
    </row>
    <row r="91" spans="1:16">
      <c r="A91" s="416">
        <v>1.6</v>
      </c>
      <c r="B91" s="664" t="s">
        <v>183</v>
      </c>
      <c r="C91" s="665"/>
      <c r="D91" s="417"/>
      <c r="E91" s="416"/>
      <c r="F91" s="418"/>
      <c r="G91" s="418"/>
      <c r="H91" s="418"/>
      <c r="I91" s="418"/>
      <c r="J91" s="418"/>
      <c r="K91" s="419"/>
    </row>
    <row r="92" spans="1:16" ht="33.75" customHeight="1">
      <c r="A92" s="10"/>
      <c r="B92" s="81" t="s">
        <v>80</v>
      </c>
      <c r="C92" s="82" t="s">
        <v>502</v>
      </c>
      <c r="D92" s="335"/>
      <c r="E92" s="10"/>
      <c r="F92" s="85"/>
      <c r="G92" s="85"/>
      <c r="H92" s="85"/>
      <c r="I92" s="86"/>
      <c r="J92" s="87"/>
      <c r="K92" s="336"/>
    </row>
    <row r="93" spans="1:16" ht="22.5" thickBot="1">
      <c r="A93" s="421"/>
      <c r="B93" s="666" t="s">
        <v>303</v>
      </c>
      <c r="C93" s="667"/>
      <c r="D93" s="422"/>
      <c r="E93" s="421"/>
      <c r="F93" s="423"/>
      <c r="G93" s="425">
        <f>SUM(G92:G92)</f>
        <v>0</v>
      </c>
      <c r="H93" s="423"/>
      <c r="I93" s="425">
        <f>SUM(I92:I92)</f>
        <v>0</v>
      </c>
      <c r="J93" s="425">
        <f>SUM(J92:J92)</f>
        <v>0</v>
      </c>
      <c r="K93" s="426"/>
    </row>
    <row r="94" spans="1:16">
      <c r="A94" s="416">
        <v>1.7</v>
      </c>
      <c r="B94" s="664" t="s">
        <v>91</v>
      </c>
      <c r="C94" s="665"/>
      <c r="D94" s="417"/>
      <c r="E94" s="416"/>
      <c r="F94" s="418"/>
      <c r="G94" s="418"/>
      <c r="H94" s="418"/>
      <c r="I94" s="418"/>
      <c r="J94" s="418"/>
      <c r="K94" s="419"/>
    </row>
    <row r="95" spans="1:16" ht="130.5">
      <c r="A95" s="10"/>
      <c r="B95" s="81" t="s">
        <v>80</v>
      </c>
      <c r="C95" s="82" t="s">
        <v>438</v>
      </c>
      <c r="D95" s="335">
        <f>(234*4*2.5*1.2)+200</f>
        <v>3008</v>
      </c>
      <c r="E95" s="10" t="s">
        <v>62</v>
      </c>
      <c r="F95" s="85">
        <v>75</v>
      </c>
      <c r="G95" s="85">
        <f>+F95*D95</f>
        <v>225600</v>
      </c>
      <c r="H95" s="85">
        <v>65</v>
      </c>
      <c r="I95" s="86">
        <f>D95*H95</f>
        <v>195520</v>
      </c>
      <c r="J95" s="87">
        <f>G95+I95</f>
        <v>421120</v>
      </c>
      <c r="K95" s="336"/>
    </row>
    <row r="96" spans="1:16" ht="108.75">
      <c r="A96" s="10"/>
      <c r="B96" s="81" t="s">
        <v>80</v>
      </c>
      <c r="C96" s="82" t="s">
        <v>437</v>
      </c>
      <c r="D96" s="335">
        <f>(135.67*4*2*1.2)+(1499.39*1.2)+180+120</f>
        <v>3401.7</v>
      </c>
      <c r="E96" s="10" t="s">
        <v>62</v>
      </c>
      <c r="F96" s="85">
        <v>75</v>
      </c>
      <c r="G96" s="85">
        <f>+F96*D96</f>
        <v>255127.5</v>
      </c>
      <c r="H96" s="85">
        <v>70</v>
      </c>
      <c r="I96" s="86">
        <f>D96*H96</f>
        <v>238119</v>
      </c>
      <c r="J96" s="87">
        <f>G96+I96</f>
        <v>493246.5</v>
      </c>
      <c r="K96" s="336"/>
      <c r="N96" s="5">
        <v>2072</v>
      </c>
      <c r="P96" s="5">
        <v>3068</v>
      </c>
    </row>
    <row r="97" spans="1:11" ht="43.5">
      <c r="A97" s="10"/>
      <c r="B97" s="81" t="s">
        <v>80</v>
      </c>
      <c r="C97" s="82" t="s">
        <v>187</v>
      </c>
      <c r="D97" s="335">
        <f>26*5*2*1.2</f>
        <v>312</v>
      </c>
      <c r="E97" s="10" t="s">
        <v>62</v>
      </c>
      <c r="F97" s="85">
        <v>85</v>
      </c>
      <c r="G97" s="85">
        <f>+F97*D97</f>
        <v>26520</v>
      </c>
      <c r="H97" s="85">
        <v>55</v>
      </c>
      <c r="I97" s="86">
        <f>D97*H97</f>
        <v>17160</v>
      </c>
      <c r="J97" s="87">
        <f>G97+I97</f>
        <v>43680</v>
      </c>
      <c r="K97" s="336"/>
    </row>
    <row r="98" spans="1:11">
      <c r="A98" s="10"/>
      <c r="B98" s="81" t="s">
        <v>80</v>
      </c>
      <c r="C98" s="82" t="s">
        <v>92</v>
      </c>
      <c r="D98" s="335">
        <v>1</v>
      </c>
      <c r="E98" s="10" t="s">
        <v>75</v>
      </c>
      <c r="F98" s="85">
        <v>8500</v>
      </c>
      <c r="G98" s="85">
        <f t="shared" ref="G98" si="26">+F98*D98</f>
        <v>8500</v>
      </c>
      <c r="H98" s="85">
        <v>0</v>
      </c>
      <c r="I98" s="86">
        <f>D98*H98</f>
        <v>0</v>
      </c>
      <c r="J98" s="87">
        <f t="shared" ref="J98" si="27">G98+I98</f>
        <v>8500</v>
      </c>
      <c r="K98" s="336" t="s">
        <v>93</v>
      </c>
    </row>
    <row r="99" spans="1:11" ht="22.5" thickBot="1">
      <c r="A99" s="421"/>
      <c r="B99" s="666" t="s">
        <v>128</v>
      </c>
      <c r="C99" s="667"/>
      <c r="D99" s="422"/>
      <c r="E99" s="421"/>
      <c r="F99" s="423"/>
      <c r="G99" s="425">
        <f>SUM(G95:G98)</f>
        <v>515747.5</v>
      </c>
      <c r="H99" s="423"/>
      <c r="I99" s="425">
        <f>SUM(I95:I98)</f>
        <v>450799</v>
      </c>
      <c r="J99" s="425">
        <f>SUM(J95:J98)</f>
        <v>966546.5</v>
      </c>
      <c r="K99" s="426"/>
    </row>
    <row r="100" spans="1:11">
      <c r="A100" s="416">
        <v>1.8</v>
      </c>
      <c r="B100" s="664" t="s">
        <v>226</v>
      </c>
      <c r="C100" s="665"/>
      <c r="D100" s="417"/>
      <c r="E100" s="416"/>
      <c r="F100" s="418"/>
      <c r="G100" s="418"/>
      <c r="H100" s="418"/>
      <c r="I100" s="418"/>
      <c r="J100" s="418"/>
      <c r="K100" s="419"/>
    </row>
    <row r="101" spans="1:11">
      <c r="A101" s="10"/>
      <c r="B101" s="338" t="s">
        <v>513</v>
      </c>
      <c r="C101" s="82"/>
      <c r="D101" s="335"/>
      <c r="E101" s="10"/>
      <c r="F101" s="85"/>
      <c r="G101" s="85"/>
      <c r="H101" s="85"/>
      <c r="I101" s="86"/>
      <c r="J101" s="87"/>
      <c r="K101" s="336"/>
    </row>
    <row r="102" spans="1:11" ht="65.25" customHeight="1">
      <c r="A102" s="10"/>
      <c r="B102" s="81" t="s">
        <v>80</v>
      </c>
      <c r="C102" s="82" t="s">
        <v>515</v>
      </c>
      <c r="D102" s="335">
        <v>46</v>
      </c>
      <c r="E102" s="10" t="s">
        <v>60</v>
      </c>
      <c r="F102" s="85">
        <v>8250</v>
      </c>
      <c r="G102" s="85">
        <f t="shared" ref="G102:G103" si="28">+F102*D102</f>
        <v>379500</v>
      </c>
      <c r="H102" s="85">
        <v>500</v>
      </c>
      <c r="I102" s="86">
        <f>D102*H102</f>
        <v>23000</v>
      </c>
      <c r="J102" s="87">
        <f>G102+I102</f>
        <v>402500</v>
      </c>
      <c r="K102" s="336" t="s">
        <v>268</v>
      </c>
    </row>
    <row r="103" spans="1:11" ht="36" customHeight="1">
      <c r="A103" s="10"/>
      <c r="B103" s="81" t="s">
        <v>80</v>
      </c>
      <c r="C103" s="82" t="s">
        <v>516</v>
      </c>
      <c r="D103" s="335">
        <v>205</v>
      </c>
      <c r="E103" s="10" t="s">
        <v>62</v>
      </c>
      <c r="F103" s="85">
        <v>650</v>
      </c>
      <c r="G103" s="85">
        <f t="shared" si="28"/>
        <v>133250</v>
      </c>
      <c r="H103" s="85">
        <v>180</v>
      </c>
      <c r="I103" s="86">
        <f>D103*H103</f>
        <v>36900</v>
      </c>
      <c r="J103" s="87">
        <f t="shared" ref="J103" si="29">G103+I103</f>
        <v>170150</v>
      </c>
      <c r="K103" s="336" t="s">
        <v>517</v>
      </c>
    </row>
    <row r="104" spans="1:11">
      <c r="A104" s="10"/>
      <c r="B104" s="338" t="s">
        <v>430</v>
      </c>
      <c r="C104" s="82"/>
      <c r="D104" s="335"/>
      <c r="E104" s="10"/>
      <c r="F104" s="85"/>
      <c r="G104" s="85"/>
      <c r="H104" s="85"/>
      <c r="I104" s="86"/>
      <c r="J104" s="87"/>
      <c r="K104" s="336"/>
    </row>
    <row r="105" spans="1:11" ht="53.25" customHeight="1">
      <c r="A105" s="10"/>
      <c r="B105" s="81" t="s">
        <v>80</v>
      </c>
      <c r="C105" s="82" t="s">
        <v>269</v>
      </c>
      <c r="D105" s="335">
        <v>1</v>
      </c>
      <c r="E105" s="10" t="s">
        <v>60</v>
      </c>
      <c r="F105" s="85">
        <v>27500</v>
      </c>
      <c r="G105" s="85">
        <f t="shared" ref="G105" si="30">+F105*D105</f>
        <v>27500</v>
      </c>
      <c r="H105" s="85"/>
      <c r="I105" s="86">
        <f t="shared" ref="I105" si="31">D105*H105</f>
        <v>0</v>
      </c>
      <c r="J105" s="87">
        <f t="shared" ref="J105" si="32">G105+I105</f>
        <v>27500</v>
      </c>
      <c r="K105" s="336" t="s">
        <v>268</v>
      </c>
    </row>
    <row r="106" spans="1:11">
      <c r="A106" s="10"/>
      <c r="B106" s="338" t="s">
        <v>274</v>
      </c>
      <c r="C106" s="82"/>
      <c r="D106" s="335"/>
      <c r="E106" s="10"/>
      <c r="F106" s="85"/>
      <c r="G106" s="85"/>
      <c r="H106" s="85"/>
      <c r="I106" s="86"/>
      <c r="J106" s="87"/>
      <c r="K106" s="336"/>
    </row>
    <row r="107" spans="1:11">
      <c r="A107" s="10"/>
      <c r="B107" s="81" t="s">
        <v>270</v>
      </c>
      <c r="C107" s="82" t="s">
        <v>271</v>
      </c>
      <c r="D107" s="335">
        <v>1</v>
      </c>
      <c r="E107" s="10" t="s">
        <v>60</v>
      </c>
      <c r="F107" s="85">
        <f>16.91*2400</f>
        <v>40584</v>
      </c>
      <c r="G107" s="85">
        <f t="shared" ref="G107:G110" si="33">+F107*D107</f>
        <v>40584</v>
      </c>
      <c r="H107" s="85">
        <v>0</v>
      </c>
      <c r="I107" s="86">
        <f t="shared" ref="I107:I110" si="34">D107*H107</f>
        <v>0</v>
      </c>
      <c r="J107" s="87">
        <f t="shared" ref="J107:J110" si="35">G107+I107</f>
        <v>40584</v>
      </c>
      <c r="K107" s="336" t="s">
        <v>89</v>
      </c>
    </row>
    <row r="108" spans="1:11">
      <c r="A108" s="10"/>
      <c r="B108" s="81" t="s">
        <v>272</v>
      </c>
      <c r="C108" s="82" t="s">
        <v>271</v>
      </c>
      <c r="D108" s="335">
        <v>1</v>
      </c>
      <c r="E108" s="10" t="s">
        <v>60</v>
      </c>
      <c r="F108" s="85">
        <f>16.91*2400</f>
        <v>40584</v>
      </c>
      <c r="G108" s="85">
        <f t="shared" si="33"/>
        <v>40584</v>
      </c>
      <c r="H108" s="85">
        <v>0</v>
      </c>
      <c r="I108" s="86">
        <f t="shared" si="34"/>
        <v>0</v>
      </c>
      <c r="J108" s="87">
        <f t="shared" si="35"/>
        <v>40584</v>
      </c>
      <c r="K108" s="336" t="s">
        <v>89</v>
      </c>
    </row>
    <row r="109" spans="1:11">
      <c r="A109" s="10"/>
      <c r="B109" s="81" t="s">
        <v>273</v>
      </c>
      <c r="C109" s="82" t="s">
        <v>271</v>
      </c>
      <c r="D109" s="335">
        <v>1</v>
      </c>
      <c r="E109" s="10" t="s">
        <v>60</v>
      </c>
      <c r="F109" s="85">
        <v>22000</v>
      </c>
      <c r="G109" s="85">
        <f t="shared" si="33"/>
        <v>22000</v>
      </c>
      <c r="H109" s="85">
        <v>0</v>
      </c>
      <c r="I109" s="86">
        <f t="shared" si="34"/>
        <v>0</v>
      </c>
      <c r="J109" s="87">
        <f t="shared" si="35"/>
        <v>22000</v>
      </c>
      <c r="K109" s="336" t="s">
        <v>89</v>
      </c>
    </row>
    <row r="110" spans="1:11">
      <c r="A110" s="10"/>
      <c r="B110" s="81" t="s">
        <v>436</v>
      </c>
      <c r="C110" s="82" t="s">
        <v>439</v>
      </c>
      <c r="D110" s="335">
        <v>10</v>
      </c>
      <c r="E110" s="10" t="s">
        <v>60</v>
      </c>
      <c r="F110" s="85">
        <v>1750</v>
      </c>
      <c r="G110" s="85">
        <f t="shared" si="33"/>
        <v>17500</v>
      </c>
      <c r="H110" s="85">
        <v>0</v>
      </c>
      <c r="I110" s="86">
        <f t="shared" si="34"/>
        <v>0</v>
      </c>
      <c r="J110" s="87">
        <f t="shared" si="35"/>
        <v>17500</v>
      </c>
      <c r="K110" s="336" t="s">
        <v>89</v>
      </c>
    </row>
    <row r="111" spans="1:11">
      <c r="A111" s="10"/>
      <c r="B111" s="338" t="s">
        <v>275</v>
      </c>
      <c r="C111" s="82"/>
      <c r="D111" s="335"/>
      <c r="E111" s="10"/>
      <c r="F111" s="85"/>
      <c r="G111" s="85"/>
      <c r="H111" s="85"/>
      <c r="I111" s="86"/>
      <c r="J111" s="87"/>
      <c r="K111" s="336"/>
    </row>
    <row r="112" spans="1:11">
      <c r="A112" s="10"/>
      <c r="B112" s="81" t="s">
        <v>276</v>
      </c>
      <c r="C112" s="82" t="s">
        <v>271</v>
      </c>
      <c r="D112" s="335">
        <v>1</v>
      </c>
      <c r="E112" s="84" t="s">
        <v>60</v>
      </c>
      <c r="F112" s="85">
        <f>3*22000</f>
        <v>66000</v>
      </c>
      <c r="G112" s="85">
        <f t="shared" ref="G112:G114" si="36">+F112*D112</f>
        <v>66000</v>
      </c>
      <c r="H112" s="85">
        <v>0</v>
      </c>
      <c r="I112" s="86">
        <f t="shared" ref="I112:I114" si="37">D112*H112</f>
        <v>0</v>
      </c>
      <c r="J112" s="86">
        <f t="shared" ref="J112:J114" si="38">G112+I112</f>
        <v>66000</v>
      </c>
      <c r="K112" s="530" t="s">
        <v>89</v>
      </c>
    </row>
    <row r="113" spans="1:11">
      <c r="A113" s="10"/>
      <c r="B113" s="81" t="s">
        <v>277</v>
      </c>
      <c r="C113" s="82" t="s">
        <v>271</v>
      </c>
      <c r="D113" s="335">
        <v>1</v>
      </c>
      <c r="E113" s="84" t="s">
        <v>60</v>
      </c>
      <c r="F113" s="85">
        <f>(2.25*22000)+12000</f>
        <v>61500</v>
      </c>
      <c r="G113" s="85">
        <f t="shared" si="36"/>
        <v>61500</v>
      </c>
      <c r="H113" s="85">
        <v>0</v>
      </c>
      <c r="I113" s="86">
        <f t="shared" si="37"/>
        <v>0</v>
      </c>
      <c r="J113" s="86">
        <f t="shared" si="38"/>
        <v>61500</v>
      </c>
      <c r="K113" s="530" t="s">
        <v>89</v>
      </c>
    </row>
    <row r="114" spans="1:11">
      <c r="A114" s="10"/>
      <c r="B114" s="81" t="s">
        <v>278</v>
      </c>
      <c r="C114" s="82" t="s">
        <v>271</v>
      </c>
      <c r="D114" s="335">
        <v>1</v>
      </c>
      <c r="E114" s="84" t="s">
        <v>60</v>
      </c>
      <c r="F114" s="85">
        <f>(3.4*18000)+(7.3*6500)</f>
        <v>108650</v>
      </c>
      <c r="G114" s="85">
        <f t="shared" si="36"/>
        <v>108650</v>
      </c>
      <c r="H114" s="85">
        <v>0</v>
      </c>
      <c r="I114" s="86">
        <f t="shared" si="37"/>
        <v>0</v>
      </c>
      <c r="J114" s="86">
        <f t="shared" si="38"/>
        <v>108650</v>
      </c>
      <c r="K114" s="530" t="s">
        <v>89</v>
      </c>
    </row>
    <row r="115" spans="1:11">
      <c r="A115" s="10"/>
      <c r="B115" s="338" t="s">
        <v>431</v>
      </c>
      <c r="C115" s="82"/>
      <c r="D115" s="335"/>
      <c r="E115" s="10"/>
      <c r="F115" s="85"/>
      <c r="G115" s="85"/>
      <c r="H115" s="85"/>
      <c r="I115" s="86"/>
      <c r="J115" s="87"/>
      <c r="K115" s="336"/>
    </row>
    <row r="116" spans="1:11">
      <c r="A116" s="10"/>
      <c r="B116" s="338" t="s">
        <v>279</v>
      </c>
      <c r="C116" s="82"/>
      <c r="D116" s="335"/>
      <c r="E116" s="10"/>
      <c r="F116" s="85"/>
      <c r="G116" s="85"/>
      <c r="H116" s="85"/>
      <c r="I116" s="86"/>
      <c r="J116" s="87"/>
      <c r="K116" s="336"/>
    </row>
    <row r="117" spans="1:11">
      <c r="A117" s="10"/>
      <c r="B117" s="81" t="s">
        <v>270</v>
      </c>
      <c r="C117" s="82" t="s">
        <v>271</v>
      </c>
      <c r="D117" s="335">
        <v>1</v>
      </c>
      <c r="E117" s="10" t="s">
        <v>60</v>
      </c>
      <c r="F117" s="85">
        <f>16.91*2400</f>
        <v>40584</v>
      </c>
      <c r="G117" s="85">
        <f t="shared" ref="G117:G123" si="39">+F117*D117</f>
        <v>40584</v>
      </c>
      <c r="H117" s="85">
        <v>0</v>
      </c>
      <c r="I117" s="86">
        <f t="shared" ref="I117:I123" si="40">D117*H117</f>
        <v>0</v>
      </c>
      <c r="J117" s="87">
        <f t="shared" ref="J117:J123" si="41">G117+I117</f>
        <v>40584</v>
      </c>
      <c r="K117" s="336" t="s">
        <v>89</v>
      </c>
    </row>
    <row r="118" spans="1:11">
      <c r="A118" s="10"/>
      <c r="B118" s="81" t="s">
        <v>280</v>
      </c>
      <c r="C118" s="82" t="s">
        <v>271</v>
      </c>
      <c r="D118" s="335">
        <v>1</v>
      </c>
      <c r="E118" s="10" t="s">
        <v>60</v>
      </c>
      <c r="F118" s="85">
        <v>2500</v>
      </c>
      <c r="G118" s="85">
        <f t="shared" si="39"/>
        <v>2500</v>
      </c>
      <c r="H118" s="85">
        <v>0</v>
      </c>
      <c r="I118" s="86">
        <f t="shared" si="40"/>
        <v>0</v>
      </c>
      <c r="J118" s="87">
        <f t="shared" si="41"/>
        <v>2500</v>
      </c>
      <c r="K118" s="336" t="s">
        <v>89</v>
      </c>
    </row>
    <row r="119" spans="1:11">
      <c r="A119" s="10"/>
      <c r="B119" s="81" t="s">
        <v>436</v>
      </c>
      <c r="C119" s="82" t="s">
        <v>439</v>
      </c>
      <c r="D119" s="335">
        <v>10</v>
      </c>
      <c r="E119" s="10" t="s">
        <v>60</v>
      </c>
      <c r="F119" s="85">
        <v>1750</v>
      </c>
      <c r="G119" s="85">
        <f t="shared" si="39"/>
        <v>17500</v>
      </c>
      <c r="H119" s="85">
        <v>0</v>
      </c>
      <c r="I119" s="86">
        <f t="shared" si="40"/>
        <v>0</v>
      </c>
      <c r="J119" s="87">
        <f t="shared" si="41"/>
        <v>17500</v>
      </c>
      <c r="K119" s="336" t="s">
        <v>89</v>
      </c>
    </row>
    <row r="120" spans="1:11">
      <c r="A120" s="10"/>
      <c r="B120" s="338" t="s">
        <v>240</v>
      </c>
      <c r="C120" s="82"/>
      <c r="D120" s="335"/>
      <c r="E120" s="84"/>
      <c r="F120" s="85"/>
      <c r="G120" s="85"/>
      <c r="H120" s="85"/>
      <c r="I120" s="86"/>
      <c r="J120" s="86"/>
      <c r="K120" s="530"/>
    </row>
    <row r="121" spans="1:11">
      <c r="A121" s="10"/>
      <c r="B121" s="81" t="s">
        <v>281</v>
      </c>
      <c r="C121" s="82" t="s">
        <v>271</v>
      </c>
      <c r="D121" s="335">
        <v>1</v>
      </c>
      <c r="E121" s="84" t="s">
        <v>60</v>
      </c>
      <c r="F121" s="85">
        <f>3*22000</f>
        <v>66000</v>
      </c>
      <c r="G121" s="85">
        <f t="shared" si="39"/>
        <v>66000</v>
      </c>
      <c r="H121" s="85">
        <v>0</v>
      </c>
      <c r="I121" s="86">
        <f t="shared" si="40"/>
        <v>0</v>
      </c>
      <c r="J121" s="86">
        <f t="shared" si="41"/>
        <v>66000</v>
      </c>
      <c r="K121" s="530" t="s">
        <v>89</v>
      </c>
    </row>
    <row r="122" spans="1:11">
      <c r="A122" s="10"/>
      <c r="B122" s="81" t="s">
        <v>282</v>
      </c>
      <c r="C122" s="82" t="s">
        <v>271</v>
      </c>
      <c r="D122" s="335">
        <v>1</v>
      </c>
      <c r="E122" s="84" t="s">
        <v>60</v>
      </c>
      <c r="F122" s="85">
        <f>(2.25*22000)+12000</f>
        <v>61500</v>
      </c>
      <c r="G122" s="85">
        <f t="shared" si="39"/>
        <v>61500</v>
      </c>
      <c r="H122" s="85">
        <v>0</v>
      </c>
      <c r="I122" s="86">
        <f t="shared" si="40"/>
        <v>0</v>
      </c>
      <c r="J122" s="86">
        <f t="shared" si="41"/>
        <v>61500</v>
      </c>
      <c r="K122" s="530" t="s">
        <v>89</v>
      </c>
    </row>
    <row r="123" spans="1:11">
      <c r="A123" s="10"/>
      <c r="B123" s="81" t="s">
        <v>283</v>
      </c>
      <c r="C123" s="82" t="s">
        <v>271</v>
      </c>
      <c r="D123" s="335">
        <v>1</v>
      </c>
      <c r="E123" s="84" t="s">
        <v>60</v>
      </c>
      <c r="F123" s="85">
        <f>(3*18000)+(3.3*6500)</f>
        <v>75450</v>
      </c>
      <c r="G123" s="85">
        <f t="shared" si="39"/>
        <v>75450</v>
      </c>
      <c r="H123" s="85">
        <v>0</v>
      </c>
      <c r="I123" s="86">
        <f t="shared" si="40"/>
        <v>0</v>
      </c>
      <c r="J123" s="86">
        <f t="shared" si="41"/>
        <v>75450</v>
      </c>
      <c r="K123" s="530" t="s">
        <v>89</v>
      </c>
    </row>
    <row r="124" spans="1:11">
      <c r="A124" s="10"/>
      <c r="B124" s="338" t="s">
        <v>284</v>
      </c>
      <c r="C124" s="82"/>
      <c r="D124" s="335"/>
      <c r="E124" s="84"/>
      <c r="F124" s="85"/>
      <c r="G124" s="85"/>
      <c r="H124" s="85"/>
      <c r="I124" s="86"/>
      <c r="J124" s="86"/>
      <c r="K124" s="530"/>
    </row>
    <row r="125" spans="1:11">
      <c r="A125" s="10"/>
      <c r="B125" s="81" t="s">
        <v>286</v>
      </c>
      <c r="C125" s="82" t="s">
        <v>271</v>
      </c>
      <c r="D125" s="335">
        <v>1</v>
      </c>
      <c r="E125" s="84" t="s">
        <v>60</v>
      </c>
      <c r="F125" s="85">
        <f>16.91*2400</f>
        <v>40584</v>
      </c>
      <c r="G125" s="85">
        <f t="shared" ref="G125:G128" si="42">+F125*D125</f>
        <v>40584</v>
      </c>
      <c r="H125" s="85">
        <v>0</v>
      </c>
      <c r="I125" s="86">
        <f t="shared" ref="I125:I128" si="43">D125*H125</f>
        <v>0</v>
      </c>
      <c r="J125" s="86">
        <f t="shared" ref="J125:J128" si="44">G125+I125</f>
        <v>40584</v>
      </c>
      <c r="K125" s="530" t="s">
        <v>89</v>
      </c>
    </row>
    <row r="126" spans="1:11">
      <c r="A126" s="10"/>
      <c r="B126" s="81" t="s">
        <v>285</v>
      </c>
      <c r="C126" s="82" t="s">
        <v>271</v>
      </c>
      <c r="D126" s="335">
        <v>1</v>
      </c>
      <c r="E126" s="84" t="s">
        <v>60</v>
      </c>
      <c r="F126" s="85">
        <f>16.68*2400</f>
        <v>40032</v>
      </c>
      <c r="G126" s="85">
        <f t="shared" si="42"/>
        <v>40032</v>
      </c>
      <c r="H126" s="85">
        <v>0</v>
      </c>
      <c r="I126" s="86">
        <f t="shared" si="43"/>
        <v>0</v>
      </c>
      <c r="J126" s="86">
        <f t="shared" si="44"/>
        <v>40032</v>
      </c>
      <c r="K126" s="530" t="s">
        <v>89</v>
      </c>
    </row>
    <row r="127" spans="1:11">
      <c r="A127" s="10"/>
      <c r="B127" s="81" t="s">
        <v>273</v>
      </c>
      <c r="C127" s="82" t="s">
        <v>271</v>
      </c>
      <c r="D127" s="335">
        <v>1</v>
      </c>
      <c r="E127" s="10" t="s">
        <v>60</v>
      </c>
      <c r="F127" s="85">
        <f>3.7*2500</f>
        <v>9250</v>
      </c>
      <c r="G127" s="85">
        <f t="shared" si="42"/>
        <v>9250</v>
      </c>
      <c r="H127" s="85">
        <v>0</v>
      </c>
      <c r="I127" s="86">
        <f t="shared" si="43"/>
        <v>0</v>
      </c>
      <c r="J127" s="87">
        <f t="shared" si="44"/>
        <v>9250</v>
      </c>
      <c r="K127" s="336" t="s">
        <v>89</v>
      </c>
    </row>
    <row r="128" spans="1:11">
      <c r="A128" s="10"/>
      <c r="B128" s="81" t="s">
        <v>436</v>
      </c>
      <c r="C128" s="82" t="s">
        <v>439</v>
      </c>
      <c r="D128" s="335">
        <v>10</v>
      </c>
      <c r="E128" s="10" t="s">
        <v>60</v>
      </c>
      <c r="F128" s="85">
        <v>1750</v>
      </c>
      <c r="G128" s="85">
        <f t="shared" si="42"/>
        <v>17500</v>
      </c>
      <c r="H128" s="85">
        <v>0</v>
      </c>
      <c r="I128" s="86">
        <f t="shared" si="43"/>
        <v>0</v>
      </c>
      <c r="J128" s="87">
        <f t="shared" si="44"/>
        <v>17500</v>
      </c>
      <c r="K128" s="336" t="s">
        <v>89</v>
      </c>
    </row>
    <row r="129" spans="1:11">
      <c r="A129" s="10"/>
      <c r="B129" s="338" t="s">
        <v>432</v>
      </c>
      <c r="C129" s="82"/>
      <c r="D129" s="335"/>
      <c r="E129" s="10"/>
      <c r="F129" s="85"/>
      <c r="G129" s="85"/>
      <c r="H129" s="85"/>
      <c r="I129" s="86"/>
      <c r="J129" s="87"/>
      <c r="K129" s="336"/>
    </row>
    <row r="130" spans="1:11">
      <c r="A130" s="10"/>
      <c r="B130" s="338" t="s">
        <v>287</v>
      </c>
      <c r="C130" s="82"/>
      <c r="D130" s="335"/>
      <c r="E130" s="10"/>
      <c r="F130" s="85"/>
      <c r="G130" s="85"/>
      <c r="H130" s="85"/>
      <c r="I130" s="86"/>
      <c r="J130" s="87"/>
      <c r="K130" s="336"/>
    </row>
    <row r="131" spans="1:11">
      <c r="A131" s="10"/>
      <c r="B131" s="81" t="s">
        <v>270</v>
      </c>
      <c r="C131" s="82" t="s">
        <v>271</v>
      </c>
      <c r="D131" s="335">
        <v>1</v>
      </c>
      <c r="E131" s="10" t="s">
        <v>60</v>
      </c>
      <c r="F131" s="85">
        <f>16.91*2400</f>
        <v>40584</v>
      </c>
      <c r="G131" s="85">
        <f t="shared" ref="G131:G142" si="45">+F131*D131</f>
        <v>40584</v>
      </c>
      <c r="H131" s="85">
        <v>0</v>
      </c>
      <c r="I131" s="86">
        <f t="shared" ref="I131:I142" si="46">D131*H131</f>
        <v>0</v>
      </c>
      <c r="J131" s="87">
        <f t="shared" ref="J131:J142" si="47">G131+I131</f>
        <v>40584</v>
      </c>
      <c r="K131" s="336" t="s">
        <v>89</v>
      </c>
    </row>
    <row r="132" spans="1:11">
      <c r="A132" s="10"/>
      <c r="B132" s="81" t="s">
        <v>280</v>
      </c>
      <c r="C132" s="82" t="s">
        <v>271</v>
      </c>
      <c r="D132" s="335">
        <v>1</v>
      </c>
      <c r="E132" s="84" t="s">
        <v>60</v>
      </c>
      <c r="F132" s="85">
        <v>2500</v>
      </c>
      <c r="G132" s="85">
        <f t="shared" si="45"/>
        <v>2500</v>
      </c>
      <c r="H132" s="85">
        <v>0</v>
      </c>
      <c r="I132" s="86">
        <f t="shared" si="46"/>
        <v>0</v>
      </c>
      <c r="J132" s="86">
        <f t="shared" si="47"/>
        <v>2500</v>
      </c>
      <c r="K132" s="530" t="s">
        <v>89</v>
      </c>
    </row>
    <row r="133" spans="1:11">
      <c r="A133" s="10"/>
      <c r="B133" s="81" t="s">
        <v>436</v>
      </c>
      <c r="C133" s="82" t="s">
        <v>439</v>
      </c>
      <c r="D133" s="335">
        <v>10</v>
      </c>
      <c r="E133" s="84" t="s">
        <v>60</v>
      </c>
      <c r="F133" s="85">
        <v>1750</v>
      </c>
      <c r="G133" s="85">
        <f t="shared" si="45"/>
        <v>17500</v>
      </c>
      <c r="H133" s="85">
        <v>0</v>
      </c>
      <c r="I133" s="86">
        <f t="shared" si="46"/>
        <v>0</v>
      </c>
      <c r="J133" s="86">
        <f t="shared" si="47"/>
        <v>17500</v>
      </c>
      <c r="K133" s="530" t="s">
        <v>89</v>
      </c>
    </row>
    <row r="134" spans="1:11">
      <c r="A134" s="10"/>
      <c r="B134" s="338" t="s">
        <v>241</v>
      </c>
      <c r="C134" s="82"/>
      <c r="D134" s="335"/>
      <c r="E134" s="84"/>
      <c r="F134" s="85"/>
      <c r="G134" s="85"/>
      <c r="H134" s="85"/>
      <c r="I134" s="86"/>
      <c r="J134" s="86"/>
      <c r="K134" s="530"/>
    </row>
    <row r="135" spans="1:11">
      <c r="A135" s="10"/>
      <c r="B135" s="81" t="s">
        <v>281</v>
      </c>
      <c r="C135" s="82" t="s">
        <v>271</v>
      </c>
      <c r="D135" s="335">
        <v>1</v>
      </c>
      <c r="E135" s="84" t="s">
        <v>60</v>
      </c>
      <c r="F135" s="85">
        <f>4.3*18000</f>
        <v>77400</v>
      </c>
      <c r="G135" s="85">
        <f t="shared" si="45"/>
        <v>77400</v>
      </c>
      <c r="H135" s="85">
        <v>0</v>
      </c>
      <c r="I135" s="86">
        <f t="shared" si="46"/>
        <v>0</v>
      </c>
      <c r="J135" s="86">
        <f t="shared" si="47"/>
        <v>77400</v>
      </c>
      <c r="K135" s="530" t="s">
        <v>89</v>
      </c>
    </row>
    <row r="136" spans="1:11">
      <c r="A136" s="10"/>
      <c r="B136" s="81" t="s">
        <v>282</v>
      </c>
      <c r="C136" s="82" t="s">
        <v>271</v>
      </c>
      <c r="D136" s="335">
        <v>1</v>
      </c>
      <c r="E136" s="84" t="s">
        <v>60</v>
      </c>
      <c r="F136" s="85">
        <f>5.5*16500</f>
        <v>90750</v>
      </c>
      <c r="G136" s="85">
        <f t="shared" si="45"/>
        <v>90750</v>
      </c>
      <c r="H136" s="85">
        <v>0</v>
      </c>
      <c r="I136" s="86">
        <f t="shared" si="46"/>
        <v>0</v>
      </c>
      <c r="J136" s="86">
        <f t="shared" si="47"/>
        <v>90750</v>
      </c>
      <c r="K136" s="530" t="s">
        <v>89</v>
      </c>
    </row>
    <row r="137" spans="1:11">
      <c r="A137" s="10"/>
      <c r="B137" s="81" t="s">
        <v>283</v>
      </c>
      <c r="C137" s="82" t="s">
        <v>271</v>
      </c>
      <c r="D137" s="335">
        <v>1</v>
      </c>
      <c r="E137" s="84" t="s">
        <v>60</v>
      </c>
      <c r="F137" s="85">
        <f>2.9*14500</f>
        <v>42050</v>
      </c>
      <c r="G137" s="85">
        <f t="shared" si="45"/>
        <v>42050</v>
      </c>
      <c r="H137" s="85">
        <v>0</v>
      </c>
      <c r="I137" s="86">
        <f t="shared" si="46"/>
        <v>0</v>
      </c>
      <c r="J137" s="86">
        <f t="shared" si="47"/>
        <v>42050</v>
      </c>
      <c r="K137" s="530" t="s">
        <v>89</v>
      </c>
    </row>
    <row r="138" spans="1:11">
      <c r="A138" s="10"/>
      <c r="B138" s="338" t="s">
        <v>288</v>
      </c>
      <c r="C138" s="82"/>
      <c r="D138" s="335"/>
      <c r="E138" s="84"/>
      <c r="F138" s="85"/>
      <c r="G138" s="85"/>
      <c r="H138" s="85"/>
      <c r="I138" s="86"/>
      <c r="J138" s="86"/>
      <c r="K138" s="530"/>
    </row>
    <row r="139" spans="1:11">
      <c r="A139" s="10"/>
      <c r="B139" s="81" t="s">
        <v>286</v>
      </c>
      <c r="C139" s="82" t="s">
        <v>271</v>
      </c>
      <c r="D139" s="335">
        <v>1</v>
      </c>
      <c r="E139" s="84" t="s">
        <v>60</v>
      </c>
      <c r="F139" s="85">
        <f>16.91*2400</f>
        <v>40584</v>
      </c>
      <c r="G139" s="85">
        <f t="shared" si="45"/>
        <v>40584</v>
      </c>
      <c r="H139" s="85">
        <v>0</v>
      </c>
      <c r="I139" s="86">
        <f t="shared" si="46"/>
        <v>0</v>
      </c>
      <c r="J139" s="86">
        <f t="shared" si="47"/>
        <v>40584</v>
      </c>
      <c r="K139" s="530" t="s">
        <v>89</v>
      </c>
    </row>
    <row r="140" spans="1:11">
      <c r="A140" s="10"/>
      <c r="B140" s="81" t="s">
        <v>285</v>
      </c>
      <c r="C140" s="82" t="s">
        <v>271</v>
      </c>
      <c r="D140" s="335">
        <v>1</v>
      </c>
      <c r="E140" s="84" t="s">
        <v>60</v>
      </c>
      <c r="F140" s="85">
        <f>16.68*2400</f>
        <v>40032</v>
      </c>
      <c r="G140" s="85">
        <f t="shared" si="45"/>
        <v>40032</v>
      </c>
      <c r="H140" s="85">
        <v>0</v>
      </c>
      <c r="I140" s="86">
        <f t="shared" si="46"/>
        <v>0</v>
      </c>
      <c r="J140" s="86">
        <f t="shared" si="47"/>
        <v>40032</v>
      </c>
      <c r="K140" s="530" t="s">
        <v>89</v>
      </c>
    </row>
    <row r="141" spans="1:11">
      <c r="A141" s="10"/>
      <c r="B141" s="81" t="s">
        <v>273</v>
      </c>
      <c r="C141" s="82" t="s">
        <v>271</v>
      </c>
      <c r="D141" s="335">
        <v>1</v>
      </c>
      <c r="E141" s="10" t="s">
        <v>60</v>
      </c>
      <c r="F141" s="85">
        <f>3.7*2500</f>
        <v>9250</v>
      </c>
      <c r="G141" s="85">
        <f t="shared" si="45"/>
        <v>9250</v>
      </c>
      <c r="H141" s="85">
        <v>0</v>
      </c>
      <c r="I141" s="86">
        <f t="shared" si="46"/>
        <v>0</v>
      </c>
      <c r="J141" s="87">
        <f t="shared" si="47"/>
        <v>9250</v>
      </c>
      <c r="K141" s="336" t="s">
        <v>89</v>
      </c>
    </row>
    <row r="142" spans="1:11">
      <c r="A142" s="10"/>
      <c r="B142" s="81" t="s">
        <v>436</v>
      </c>
      <c r="C142" s="82" t="s">
        <v>439</v>
      </c>
      <c r="D142" s="335">
        <v>10</v>
      </c>
      <c r="E142" s="10" t="s">
        <v>60</v>
      </c>
      <c r="F142" s="85">
        <v>1750</v>
      </c>
      <c r="G142" s="85">
        <f t="shared" si="45"/>
        <v>17500</v>
      </c>
      <c r="H142" s="85">
        <v>0</v>
      </c>
      <c r="I142" s="86">
        <f t="shared" si="46"/>
        <v>0</v>
      </c>
      <c r="J142" s="87">
        <f t="shared" si="47"/>
        <v>17500</v>
      </c>
      <c r="K142" s="336" t="s">
        <v>89</v>
      </c>
    </row>
    <row r="143" spans="1:11">
      <c r="A143" s="10"/>
      <c r="B143" s="338" t="s">
        <v>433</v>
      </c>
      <c r="C143" s="82"/>
      <c r="D143" s="335"/>
      <c r="E143" s="10"/>
      <c r="F143" s="85"/>
      <c r="G143" s="85"/>
      <c r="H143" s="85"/>
      <c r="I143" s="86"/>
      <c r="J143" s="87"/>
      <c r="K143" s="336"/>
    </row>
    <row r="144" spans="1:11">
      <c r="A144" s="10"/>
      <c r="B144" s="338" t="s">
        <v>289</v>
      </c>
      <c r="C144" s="82"/>
      <c r="D144" s="335"/>
      <c r="E144" s="10"/>
      <c r="F144" s="85"/>
      <c r="G144" s="85"/>
      <c r="H144" s="85"/>
      <c r="I144" s="86"/>
      <c r="J144" s="87"/>
      <c r="K144" s="336"/>
    </row>
    <row r="145" spans="1:11">
      <c r="A145" s="10"/>
      <c r="B145" s="81" t="s">
        <v>270</v>
      </c>
      <c r="C145" s="82" t="s">
        <v>271</v>
      </c>
      <c r="D145" s="335">
        <v>1</v>
      </c>
      <c r="E145" s="10" t="s">
        <v>60</v>
      </c>
      <c r="F145" s="85">
        <f>16.91*2400</f>
        <v>40584</v>
      </c>
      <c r="G145" s="85">
        <f t="shared" ref="G145:G154" si="48">+F145*D145</f>
        <v>40584</v>
      </c>
      <c r="H145" s="85">
        <v>0</v>
      </c>
      <c r="I145" s="86">
        <f t="shared" ref="I145:I154" si="49">D145*H145</f>
        <v>0</v>
      </c>
      <c r="J145" s="87">
        <f t="shared" ref="J145:J154" si="50">G145+I145</f>
        <v>40584</v>
      </c>
      <c r="K145" s="336" t="s">
        <v>89</v>
      </c>
    </row>
    <row r="146" spans="1:11">
      <c r="A146" s="10"/>
      <c r="B146" s="81" t="s">
        <v>290</v>
      </c>
      <c r="C146" s="82" t="s">
        <v>271</v>
      </c>
      <c r="D146" s="335">
        <v>1</v>
      </c>
      <c r="E146" s="10" t="s">
        <v>60</v>
      </c>
      <c r="F146" s="85">
        <f>16.66*2400</f>
        <v>39984</v>
      </c>
      <c r="G146" s="85">
        <f t="shared" si="48"/>
        <v>39984</v>
      </c>
      <c r="H146" s="85">
        <v>0</v>
      </c>
      <c r="I146" s="86">
        <f t="shared" si="49"/>
        <v>0</v>
      </c>
      <c r="J146" s="87">
        <f t="shared" si="50"/>
        <v>39984</v>
      </c>
      <c r="K146" s="336" t="s">
        <v>89</v>
      </c>
    </row>
    <row r="147" spans="1:11">
      <c r="A147" s="10"/>
      <c r="B147" s="81" t="s">
        <v>436</v>
      </c>
      <c r="C147" s="82" t="s">
        <v>439</v>
      </c>
      <c r="D147" s="335">
        <v>10</v>
      </c>
      <c r="E147" s="84" t="s">
        <v>60</v>
      </c>
      <c r="F147" s="85">
        <v>1750</v>
      </c>
      <c r="G147" s="85">
        <f t="shared" si="48"/>
        <v>17500</v>
      </c>
      <c r="H147" s="85">
        <v>0</v>
      </c>
      <c r="I147" s="86">
        <f t="shared" si="49"/>
        <v>0</v>
      </c>
      <c r="J147" s="86">
        <f t="shared" si="50"/>
        <v>17500</v>
      </c>
      <c r="K147" s="530" t="s">
        <v>89</v>
      </c>
    </row>
    <row r="148" spans="1:11">
      <c r="A148" s="10"/>
      <c r="B148" s="338" t="s">
        <v>291</v>
      </c>
      <c r="C148" s="82"/>
      <c r="D148" s="335"/>
      <c r="E148" s="84"/>
      <c r="F148" s="85"/>
      <c r="G148" s="85"/>
      <c r="H148" s="85"/>
      <c r="I148" s="86"/>
      <c r="J148" s="86"/>
      <c r="K148" s="530"/>
    </row>
    <row r="149" spans="1:11">
      <c r="A149" s="10"/>
      <c r="B149" s="81" t="s">
        <v>292</v>
      </c>
      <c r="C149" s="82" t="s">
        <v>271</v>
      </c>
      <c r="D149" s="335">
        <v>1</v>
      </c>
      <c r="E149" s="84" t="s">
        <v>60</v>
      </c>
      <c r="F149" s="85">
        <f>4.3*18000</f>
        <v>77400</v>
      </c>
      <c r="G149" s="85">
        <f t="shared" si="48"/>
        <v>77400</v>
      </c>
      <c r="H149" s="85">
        <v>0</v>
      </c>
      <c r="I149" s="86">
        <f t="shared" si="49"/>
        <v>0</v>
      </c>
      <c r="J149" s="86">
        <f t="shared" si="50"/>
        <v>77400</v>
      </c>
      <c r="K149" s="530" t="s">
        <v>89</v>
      </c>
    </row>
    <row r="150" spans="1:11">
      <c r="A150" s="10"/>
      <c r="B150" s="81" t="s">
        <v>293</v>
      </c>
      <c r="C150" s="82" t="s">
        <v>271</v>
      </c>
      <c r="D150" s="335">
        <v>1</v>
      </c>
      <c r="E150" s="84" t="s">
        <v>60</v>
      </c>
      <c r="F150" s="85">
        <f>4.1*16500</f>
        <v>67650</v>
      </c>
      <c r="G150" s="85">
        <f t="shared" si="48"/>
        <v>67650</v>
      </c>
      <c r="H150" s="85">
        <v>0</v>
      </c>
      <c r="I150" s="86">
        <f t="shared" si="49"/>
        <v>0</v>
      </c>
      <c r="J150" s="86">
        <f t="shared" si="50"/>
        <v>67650</v>
      </c>
      <c r="K150" s="530" t="s">
        <v>89</v>
      </c>
    </row>
    <row r="151" spans="1:11">
      <c r="A151" s="10"/>
      <c r="B151" s="338" t="s">
        <v>294</v>
      </c>
      <c r="C151" s="82"/>
      <c r="D151" s="335"/>
      <c r="E151" s="84"/>
      <c r="F151" s="85"/>
      <c r="G151" s="85"/>
      <c r="H151" s="85"/>
      <c r="I151" s="86"/>
      <c r="J151" s="86"/>
      <c r="K151" s="530"/>
    </row>
    <row r="152" spans="1:11">
      <c r="A152" s="10"/>
      <c r="B152" s="81" t="s">
        <v>295</v>
      </c>
      <c r="C152" s="82" t="s">
        <v>271</v>
      </c>
      <c r="D152" s="335">
        <v>1</v>
      </c>
      <c r="E152" s="84" t="s">
        <v>60</v>
      </c>
      <c r="F152" s="85">
        <f>16.66*2400</f>
        <v>39984</v>
      </c>
      <c r="G152" s="85">
        <f t="shared" si="48"/>
        <v>39984</v>
      </c>
      <c r="H152" s="85">
        <v>0</v>
      </c>
      <c r="I152" s="86">
        <f t="shared" si="49"/>
        <v>0</v>
      </c>
      <c r="J152" s="86">
        <f t="shared" si="50"/>
        <v>39984</v>
      </c>
      <c r="K152" s="530" t="s">
        <v>89</v>
      </c>
    </row>
    <row r="153" spans="1:11">
      <c r="A153" s="10"/>
      <c r="B153" s="81" t="s">
        <v>296</v>
      </c>
      <c r="C153" s="82" t="s">
        <v>271</v>
      </c>
      <c r="D153" s="335">
        <v>1</v>
      </c>
      <c r="E153" s="84" t="s">
        <v>60</v>
      </c>
      <c r="F153" s="85">
        <f>16.68*2400</f>
        <v>40032</v>
      </c>
      <c r="G153" s="85">
        <f t="shared" si="48"/>
        <v>40032</v>
      </c>
      <c r="H153" s="85">
        <v>0</v>
      </c>
      <c r="I153" s="86">
        <f t="shared" si="49"/>
        <v>0</v>
      </c>
      <c r="J153" s="86">
        <f t="shared" si="50"/>
        <v>40032</v>
      </c>
      <c r="K153" s="530" t="s">
        <v>89</v>
      </c>
    </row>
    <row r="154" spans="1:11">
      <c r="A154" s="10"/>
      <c r="B154" s="81" t="s">
        <v>436</v>
      </c>
      <c r="C154" s="82" t="s">
        <v>439</v>
      </c>
      <c r="D154" s="335">
        <v>10</v>
      </c>
      <c r="E154" s="84" t="s">
        <v>60</v>
      </c>
      <c r="F154" s="85">
        <v>1750</v>
      </c>
      <c r="G154" s="85">
        <f t="shared" si="48"/>
        <v>17500</v>
      </c>
      <c r="H154" s="85">
        <v>0</v>
      </c>
      <c r="I154" s="86">
        <f t="shared" si="49"/>
        <v>0</v>
      </c>
      <c r="J154" s="86">
        <f t="shared" si="50"/>
        <v>17500</v>
      </c>
      <c r="K154" s="530" t="s">
        <v>89</v>
      </c>
    </row>
    <row r="155" spans="1:11">
      <c r="A155" s="10"/>
      <c r="B155" s="338" t="s">
        <v>297</v>
      </c>
      <c r="C155" s="82"/>
      <c r="D155" s="335"/>
      <c r="E155" s="84"/>
      <c r="F155" s="85"/>
      <c r="G155" s="85"/>
      <c r="H155" s="85"/>
      <c r="I155" s="86"/>
      <c r="J155" s="86"/>
      <c r="K155" s="530"/>
    </row>
    <row r="156" spans="1:11">
      <c r="A156" s="10"/>
      <c r="B156" s="81" t="s">
        <v>292</v>
      </c>
      <c r="C156" s="82" t="s">
        <v>271</v>
      </c>
      <c r="D156" s="335">
        <v>1</v>
      </c>
      <c r="E156" s="84" t="s">
        <v>60</v>
      </c>
      <c r="F156" s="85">
        <f>4.3*18000</f>
        <v>77400</v>
      </c>
      <c r="G156" s="85">
        <f t="shared" ref="G156:G162" si="51">+F156*D156</f>
        <v>77400</v>
      </c>
      <c r="H156" s="85">
        <v>0</v>
      </c>
      <c r="I156" s="86">
        <f t="shared" ref="I156:I162" si="52">D156*H156</f>
        <v>0</v>
      </c>
      <c r="J156" s="86">
        <f t="shared" ref="J156:J162" si="53">G156+I156</f>
        <v>77400</v>
      </c>
      <c r="K156" s="530" t="s">
        <v>89</v>
      </c>
    </row>
    <row r="157" spans="1:11">
      <c r="A157" s="10"/>
      <c r="B157" s="81" t="s">
        <v>298</v>
      </c>
      <c r="C157" s="82" t="s">
        <v>271</v>
      </c>
      <c r="D157" s="335">
        <v>1</v>
      </c>
      <c r="E157" s="84" t="s">
        <v>60</v>
      </c>
      <c r="F157" s="85">
        <f>4.1*16500</f>
        <v>67650</v>
      </c>
      <c r="G157" s="85">
        <f t="shared" si="51"/>
        <v>67650</v>
      </c>
      <c r="H157" s="85">
        <v>0</v>
      </c>
      <c r="I157" s="86">
        <f t="shared" si="52"/>
        <v>0</v>
      </c>
      <c r="J157" s="86">
        <f t="shared" si="53"/>
        <v>67650</v>
      </c>
      <c r="K157" s="530" t="s">
        <v>89</v>
      </c>
    </row>
    <row r="158" spans="1:11">
      <c r="A158" s="10"/>
      <c r="B158" s="338" t="s">
        <v>299</v>
      </c>
      <c r="C158" s="82"/>
      <c r="D158" s="335"/>
      <c r="E158" s="84"/>
      <c r="F158" s="85"/>
      <c r="G158" s="85"/>
      <c r="H158" s="85"/>
      <c r="I158" s="86"/>
      <c r="J158" s="86"/>
      <c r="K158" s="530"/>
    </row>
    <row r="159" spans="1:11">
      <c r="A159" s="10"/>
      <c r="B159" s="81" t="s">
        <v>286</v>
      </c>
      <c r="C159" s="82" t="s">
        <v>271</v>
      </c>
      <c r="D159" s="335">
        <v>1</v>
      </c>
      <c r="E159" s="84" t="s">
        <v>60</v>
      </c>
      <c r="F159" s="85">
        <f>16.66*2600</f>
        <v>43316</v>
      </c>
      <c r="G159" s="85">
        <f t="shared" si="51"/>
        <v>43316</v>
      </c>
      <c r="H159" s="85">
        <v>0</v>
      </c>
      <c r="I159" s="86">
        <f t="shared" si="52"/>
        <v>0</v>
      </c>
      <c r="J159" s="86">
        <f t="shared" si="53"/>
        <v>43316</v>
      </c>
      <c r="K159" s="530" t="s">
        <v>89</v>
      </c>
    </row>
    <row r="160" spans="1:11">
      <c r="A160" s="10"/>
      <c r="B160" s="81" t="s">
        <v>285</v>
      </c>
      <c r="C160" s="82" t="s">
        <v>271</v>
      </c>
      <c r="D160" s="335">
        <v>1</v>
      </c>
      <c r="E160" s="10" t="s">
        <v>60</v>
      </c>
      <c r="F160" s="85">
        <f>16.66*2600</f>
        <v>43316</v>
      </c>
      <c r="G160" s="85">
        <f t="shared" si="51"/>
        <v>43316</v>
      </c>
      <c r="H160" s="85">
        <v>0</v>
      </c>
      <c r="I160" s="86">
        <f t="shared" si="52"/>
        <v>0</v>
      </c>
      <c r="J160" s="87">
        <f t="shared" si="53"/>
        <v>43316</v>
      </c>
      <c r="K160" s="336" t="s">
        <v>89</v>
      </c>
    </row>
    <row r="161" spans="1:11">
      <c r="A161" s="10"/>
      <c r="B161" s="81" t="s">
        <v>436</v>
      </c>
      <c r="C161" s="82" t="s">
        <v>439</v>
      </c>
      <c r="D161" s="335">
        <v>10</v>
      </c>
      <c r="E161" s="10" t="s">
        <v>60</v>
      </c>
      <c r="F161" s="85">
        <v>5250</v>
      </c>
      <c r="G161" s="85">
        <f t="shared" si="51"/>
        <v>52500</v>
      </c>
      <c r="H161" s="85">
        <v>0</v>
      </c>
      <c r="I161" s="86">
        <f t="shared" si="52"/>
        <v>0</v>
      </c>
      <c r="J161" s="87">
        <f t="shared" si="53"/>
        <v>52500</v>
      </c>
      <c r="K161" s="336" t="s">
        <v>89</v>
      </c>
    </row>
    <row r="162" spans="1:11" ht="82.5" customHeight="1">
      <c r="A162" s="10"/>
      <c r="B162" s="81" t="s">
        <v>436</v>
      </c>
      <c r="C162" s="82" t="s">
        <v>472</v>
      </c>
      <c r="D162" s="335">
        <f>60*4*1.3</f>
        <v>312</v>
      </c>
      <c r="E162" s="10" t="s">
        <v>95</v>
      </c>
      <c r="F162" s="85">
        <v>100</v>
      </c>
      <c r="G162" s="85">
        <f t="shared" si="51"/>
        <v>31200</v>
      </c>
      <c r="H162" s="85">
        <v>0</v>
      </c>
      <c r="I162" s="86">
        <f t="shared" si="52"/>
        <v>0</v>
      </c>
      <c r="J162" s="87">
        <f t="shared" si="53"/>
        <v>31200</v>
      </c>
      <c r="K162" s="336" t="s">
        <v>89</v>
      </c>
    </row>
    <row r="163" spans="1:11" ht="22.5" thickBot="1">
      <c r="A163" s="421"/>
      <c r="B163" s="666" t="s">
        <v>307</v>
      </c>
      <c r="C163" s="667"/>
      <c r="D163" s="422"/>
      <c r="E163" s="421"/>
      <c r="F163" s="423"/>
      <c r="G163" s="424">
        <f>SUM(G105:G162)</f>
        <v>1789384</v>
      </c>
      <c r="H163" s="423"/>
      <c r="I163" s="424">
        <f>SUM(I105:I162)</f>
        <v>0</v>
      </c>
      <c r="J163" s="425">
        <f>SUM(J102:J162)</f>
        <v>2362034</v>
      </c>
      <c r="K163" s="426"/>
    </row>
    <row r="164" spans="1:11" ht="22.5" thickBot="1">
      <c r="A164" s="427"/>
      <c r="B164" s="668" t="s">
        <v>306</v>
      </c>
      <c r="C164" s="669"/>
      <c r="D164" s="428"/>
      <c r="E164" s="427"/>
      <c r="F164" s="429"/>
      <c r="G164" s="430">
        <f>G25+G34+G58+G66+G90+G93+G99+G163</f>
        <v>9238274.3300000001</v>
      </c>
      <c r="H164" s="429"/>
      <c r="I164" s="430">
        <f>I25+I34+I58+I66+I90+I93+I99+I163</f>
        <v>1701904.42</v>
      </c>
      <c r="J164" s="431">
        <f>J25+J34+J58+J66+J90+J93+J99+J163</f>
        <v>11512828.75</v>
      </c>
      <c r="K164" s="432"/>
    </row>
    <row r="172" spans="1:11" s="373" customFormat="1">
      <c r="A172" s="116"/>
      <c r="B172" s="5"/>
      <c r="C172" s="527"/>
      <c r="D172" s="117"/>
      <c r="E172" s="5"/>
      <c r="F172" s="118"/>
      <c r="G172" s="118"/>
      <c r="H172" s="118"/>
      <c r="I172" s="118"/>
      <c r="J172" s="118"/>
      <c r="K172" s="5"/>
    </row>
    <row r="173" spans="1:11" s="453" customFormat="1">
      <c r="A173" s="116"/>
      <c r="B173" s="5"/>
      <c r="C173" s="527"/>
      <c r="D173" s="117"/>
      <c r="E173" s="5"/>
      <c r="F173" s="118"/>
      <c r="G173" s="118"/>
      <c r="H173" s="118"/>
      <c r="I173" s="118"/>
      <c r="J173" s="118"/>
      <c r="K173" s="5"/>
    </row>
    <row r="176" spans="1:11" s="373" customFormat="1">
      <c r="A176" s="116"/>
      <c r="B176" s="5"/>
      <c r="C176" s="527"/>
      <c r="D176" s="117"/>
      <c r="E176" s="5"/>
      <c r="F176" s="118"/>
      <c r="G176" s="118"/>
      <c r="H176" s="118"/>
      <c r="I176" s="118"/>
      <c r="J176" s="118"/>
      <c r="K176" s="5"/>
    </row>
    <row r="177" spans="1:11" s="408" customFormat="1">
      <c r="A177" s="116"/>
      <c r="B177" s="5"/>
      <c r="C177" s="527"/>
      <c r="D177" s="117"/>
      <c r="E177" s="5"/>
      <c r="F177" s="118"/>
      <c r="G177" s="118"/>
      <c r="H177" s="118"/>
      <c r="I177" s="118"/>
      <c r="J177" s="118"/>
      <c r="K177" s="5"/>
    </row>
  </sheetData>
  <mergeCells count="18">
    <mergeCell ref="B99:C99"/>
    <mergeCell ref="B100:C100"/>
    <mergeCell ref="B163:C163"/>
    <mergeCell ref="B164:C164"/>
    <mergeCell ref="B67:C67"/>
    <mergeCell ref="B90:C90"/>
    <mergeCell ref="B91:C91"/>
    <mergeCell ref="B93:C93"/>
    <mergeCell ref="B94:C94"/>
    <mergeCell ref="B35:C35"/>
    <mergeCell ref="B58:C58"/>
    <mergeCell ref="B59:C59"/>
    <mergeCell ref="B66:C66"/>
    <mergeCell ref="I5:J5"/>
    <mergeCell ref="B12:C12"/>
    <mergeCell ref="B25:C25"/>
    <mergeCell ref="B26:C26"/>
    <mergeCell ref="B34:C34"/>
  </mergeCells>
  <printOptions horizontalCentered="1"/>
  <pageMargins left="0.2" right="0.2" top="0.5" bottom="0.5" header="0.3" footer="0.3"/>
  <pageSetup paperSize="9" scale="87" fitToHeight="25" orientation="landscape" horizontalDpi="300" verticalDpi="300" r:id="rId1"/>
  <headerFooter alignWithMargins="0"/>
  <rowBreaks count="2" manualBreakCount="2">
    <brk id="34" max="10" man="1"/>
    <brk id="66" max="10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indexed="10"/>
  </sheetPr>
  <dimension ref="A1:K177"/>
  <sheetViews>
    <sheetView showGridLines="0" showZeros="0" view="pageBreakPreview" zoomScale="70" zoomScaleNormal="85" zoomScaleSheetLayoutView="70" workbookViewId="0">
      <pane ySplit="8" topLeftCell="A124" activePane="bottomLeft" state="frozen"/>
      <selection activeCell="F45" sqref="F45"/>
      <selection pane="bottomLeft" activeCell="G30" sqref="G30"/>
    </sheetView>
  </sheetViews>
  <sheetFormatPr defaultColWidth="9.140625" defaultRowHeight="21.75"/>
  <cols>
    <col min="1" max="1" width="6.140625" style="116" customWidth="1"/>
    <col min="2" max="2" width="6.140625" style="5" customWidth="1"/>
    <col min="3" max="3" width="55.7109375" style="527" customWidth="1"/>
    <col min="4" max="4" width="10.7109375" style="117" customWidth="1"/>
    <col min="5" max="5" width="8.7109375" style="5" customWidth="1"/>
    <col min="6" max="9" width="15.7109375" style="118" customWidth="1"/>
    <col min="10" max="10" width="18.7109375" style="118" customWidth="1"/>
    <col min="11" max="11" width="15.7109375" style="5" customWidth="1"/>
    <col min="12" max="12" width="13.5703125" style="5" customWidth="1"/>
    <col min="13" max="13" width="25.7109375" style="5" bestFit="1" customWidth="1"/>
    <col min="14" max="16384" width="9.140625" style="5"/>
  </cols>
  <sheetData>
    <row r="1" spans="1:11" s="1" customFormat="1">
      <c r="A1" s="68" t="s">
        <v>401</v>
      </c>
      <c r="B1" s="68"/>
      <c r="C1" s="68" t="str">
        <f ca="1">'1.1.ST'!C1</f>
        <v>งานออกแบบและก่อสร้าง  กองอาคารและสถานที่ มหาวิทยาลัยขอนแก่น</v>
      </c>
      <c r="D1" s="68"/>
      <c r="E1" s="68"/>
      <c r="F1" s="68"/>
      <c r="G1" s="68"/>
      <c r="H1" s="68"/>
      <c r="I1" s="68" t="s">
        <v>43</v>
      </c>
      <c r="J1" s="68" t="s">
        <v>44</v>
      </c>
      <c r="K1" s="68"/>
    </row>
    <row r="2" spans="1:11" s="1" customFormat="1">
      <c r="A2" s="634" t="str">
        <f>' ปร.6'!A3</f>
        <v>ชื่อโครง  โครงการปรับปรุงห้องปฏิบัติการเคมี อาคาร sc.04 คณะวิทยาศาสตร์</v>
      </c>
      <c r="B2" s="634"/>
      <c r="C2" s="634"/>
      <c r="D2" s="68"/>
      <c r="E2" s="68"/>
      <c r="F2" s="68"/>
      <c r="G2" s="68"/>
      <c r="H2" s="68"/>
      <c r="I2" s="68"/>
      <c r="J2" s="68"/>
      <c r="K2" s="68"/>
    </row>
    <row r="3" spans="1:11" s="1" customFormat="1">
      <c r="A3" s="68" t="s">
        <v>88</v>
      </c>
      <c r="B3" s="68"/>
      <c r="C3" s="519" t="s">
        <v>54</v>
      </c>
      <c r="D3" s="68" t="s">
        <v>6</v>
      </c>
      <c r="E3" s="68"/>
      <c r="F3" s="68"/>
      <c r="G3" s="68"/>
      <c r="H3" s="68" t="s">
        <v>45</v>
      </c>
      <c r="I3" s="68"/>
      <c r="J3" s="68"/>
      <c r="K3" s="68"/>
    </row>
    <row r="4" spans="1:11" s="1" customFormat="1">
      <c r="A4" s="68" t="s">
        <v>46</v>
      </c>
      <c r="B4" s="68"/>
      <c r="C4" s="519" t="str">
        <f ca="1">'1.1.ST'!C4</f>
        <v>งานออกแบบและก่อสร้าง</v>
      </c>
      <c r="D4" s="68" t="s">
        <v>47</v>
      </c>
      <c r="E4" s="68" t="s">
        <v>61</v>
      </c>
      <c r="F4" s="68"/>
      <c r="G4" s="68"/>
      <c r="H4" s="68" t="s">
        <v>48</v>
      </c>
      <c r="I4" s="68"/>
      <c r="J4" s="68"/>
      <c r="K4" s="68"/>
    </row>
    <row r="5" spans="1:11" s="1" customFormat="1">
      <c r="A5" s="68" t="s">
        <v>182</v>
      </c>
      <c r="B5" s="68"/>
      <c r="C5" s="519"/>
      <c r="D5" s="68"/>
      <c r="E5" s="68"/>
      <c r="F5" s="68"/>
      <c r="G5" s="68"/>
      <c r="H5" s="69" t="s">
        <v>52</v>
      </c>
      <c r="I5" s="661"/>
      <c r="J5" s="661"/>
      <c r="K5" s="68" t="s">
        <v>22</v>
      </c>
    </row>
    <row r="6" spans="1:11" s="2" customFormat="1" ht="22.5" thickBot="1">
      <c r="A6" s="6"/>
      <c r="B6" s="6"/>
      <c r="C6" s="520"/>
      <c r="D6" s="8"/>
      <c r="E6" s="8"/>
      <c r="F6" s="70"/>
      <c r="G6" s="71"/>
      <c r="H6" s="71"/>
      <c r="I6" s="70"/>
      <c r="J6" s="70"/>
      <c r="K6" s="7"/>
    </row>
    <row r="7" spans="1:11" s="2" customFormat="1">
      <c r="A7" s="72" t="s">
        <v>49</v>
      </c>
      <c r="B7" s="636"/>
      <c r="C7" s="635" t="s">
        <v>1</v>
      </c>
      <c r="D7" s="99" t="s">
        <v>2</v>
      </c>
      <c r="E7" s="74" t="s">
        <v>3</v>
      </c>
      <c r="F7" s="100" t="s">
        <v>23</v>
      </c>
      <c r="G7" s="101"/>
      <c r="H7" s="100" t="s">
        <v>4</v>
      </c>
      <c r="I7" s="101"/>
      <c r="J7" s="102" t="s">
        <v>50</v>
      </c>
      <c r="K7" s="75" t="s">
        <v>5</v>
      </c>
    </row>
    <row r="8" spans="1:11" s="2" customFormat="1" ht="22.5" thickBot="1">
      <c r="A8" s="76"/>
      <c r="B8" s="77"/>
      <c r="C8" s="604"/>
      <c r="D8" s="605"/>
      <c r="E8" s="79"/>
      <c r="F8" s="606" t="s">
        <v>51</v>
      </c>
      <c r="G8" s="606" t="s">
        <v>13</v>
      </c>
      <c r="H8" s="606" t="s">
        <v>51</v>
      </c>
      <c r="I8" s="606" t="s">
        <v>13</v>
      </c>
      <c r="J8" s="607"/>
      <c r="K8" s="80"/>
    </row>
    <row r="9" spans="1:11">
      <c r="A9" s="608"/>
      <c r="B9" s="609" t="s">
        <v>77</v>
      </c>
      <c r="C9" s="610"/>
      <c r="D9" s="611"/>
      <c r="E9" s="612"/>
      <c r="F9" s="613"/>
      <c r="G9" s="613"/>
      <c r="H9" s="613"/>
      <c r="I9" s="613"/>
      <c r="J9" s="613"/>
      <c r="K9" s="612"/>
    </row>
    <row r="10" spans="1:11">
      <c r="A10" s="362"/>
      <c r="B10" s="361" t="s">
        <v>78</v>
      </c>
      <c r="C10" s="521"/>
      <c r="D10" s="352"/>
      <c r="E10" s="351"/>
      <c r="F10" s="353"/>
      <c r="G10" s="353"/>
      <c r="H10" s="353"/>
      <c r="I10" s="353"/>
      <c r="J10" s="353"/>
      <c r="K10" s="351"/>
    </row>
    <row r="11" spans="1:11" s="368" customFormat="1">
      <c r="A11" s="363">
        <v>1.3</v>
      </c>
      <c r="B11" s="364" t="s">
        <v>184</v>
      </c>
      <c r="C11" s="522"/>
      <c r="D11" s="366"/>
      <c r="E11" s="365"/>
      <c r="F11" s="367"/>
      <c r="G11" s="367"/>
      <c r="H11" s="367"/>
      <c r="I11" s="367"/>
      <c r="J11" s="367"/>
      <c r="K11" s="365"/>
    </row>
    <row r="12" spans="1:11" s="453" customFormat="1">
      <c r="A12" s="449" t="s">
        <v>96</v>
      </c>
      <c r="B12" s="450" t="s">
        <v>309</v>
      </c>
      <c r="C12" s="523"/>
      <c r="D12" s="451"/>
      <c r="E12" s="450"/>
      <c r="F12" s="452"/>
      <c r="G12" s="452"/>
      <c r="H12" s="452"/>
      <c r="I12" s="452"/>
      <c r="J12" s="452"/>
      <c r="K12" s="450"/>
    </row>
    <row r="13" spans="1:11">
      <c r="A13" s="350"/>
      <c r="B13" s="355" t="s">
        <v>85</v>
      </c>
      <c r="C13" s="524" t="s">
        <v>310</v>
      </c>
      <c r="D13" s="352">
        <v>1</v>
      </c>
      <c r="E13" s="351" t="s">
        <v>81</v>
      </c>
      <c r="F13" s="353">
        <v>15200</v>
      </c>
      <c r="G13" s="353">
        <f>D13*F13</f>
        <v>15200</v>
      </c>
      <c r="H13" s="353"/>
      <c r="I13" s="353">
        <f>D13*H13</f>
        <v>0</v>
      </c>
      <c r="J13" s="353">
        <f>G13+I13</f>
        <v>15200</v>
      </c>
      <c r="K13" s="351"/>
    </row>
    <row r="14" spans="1:11">
      <c r="A14" s="350"/>
      <c r="B14" s="355" t="s">
        <v>85</v>
      </c>
      <c r="C14" s="524" t="s">
        <v>311</v>
      </c>
      <c r="D14" s="352">
        <v>4</v>
      </c>
      <c r="E14" s="351" t="s">
        <v>81</v>
      </c>
      <c r="F14" s="353">
        <v>5360</v>
      </c>
      <c r="G14" s="353">
        <f t="shared" ref="G14:G22" si="0">D14*F14</f>
        <v>21440</v>
      </c>
      <c r="H14" s="353"/>
      <c r="I14" s="353">
        <f t="shared" ref="I14:I22" si="1">D14*H14</f>
        <v>0</v>
      </c>
      <c r="J14" s="353">
        <f t="shared" ref="J14:J22" si="2">G14+I14</f>
        <v>21440</v>
      </c>
      <c r="K14" s="351"/>
    </row>
    <row r="15" spans="1:11">
      <c r="A15" s="350"/>
      <c r="B15" s="355" t="s">
        <v>85</v>
      </c>
      <c r="C15" s="524" t="s">
        <v>312</v>
      </c>
      <c r="D15" s="352">
        <v>2</v>
      </c>
      <c r="E15" s="351" t="s">
        <v>81</v>
      </c>
      <c r="F15" s="353">
        <v>3630</v>
      </c>
      <c r="G15" s="353">
        <f t="shared" si="0"/>
        <v>7260</v>
      </c>
      <c r="H15" s="353"/>
      <c r="I15" s="353">
        <f t="shared" si="1"/>
        <v>0</v>
      </c>
      <c r="J15" s="353">
        <f t="shared" si="2"/>
        <v>7260</v>
      </c>
      <c r="K15" s="351"/>
    </row>
    <row r="16" spans="1:11">
      <c r="A16" s="350"/>
      <c r="B16" s="355" t="s">
        <v>85</v>
      </c>
      <c r="C16" s="524" t="s">
        <v>313</v>
      </c>
      <c r="D16" s="352">
        <v>1</v>
      </c>
      <c r="E16" s="351" t="s">
        <v>81</v>
      </c>
      <c r="F16" s="353">
        <v>3120</v>
      </c>
      <c r="G16" s="353">
        <f t="shared" si="0"/>
        <v>3120</v>
      </c>
      <c r="H16" s="353"/>
      <c r="I16" s="353">
        <f t="shared" si="1"/>
        <v>0</v>
      </c>
      <c r="J16" s="353">
        <f t="shared" si="2"/>
        <v>3120</v>
      </c>
      <c r="K16" s="351"/>
    </row>
    <row r="17" spans="1:11">
      <c r="A17" s="350"/>
      <c r="B17" s="355" t="s">
        <v>85</v>
      </c>
      <c r="C17" s="524" t="s">
        <v>314</v>
      </c>
      <c r="D17" s="352">
        <v>1</v>
      </c>
      <c r="E17" s="351" t="s">
        <v>81</v>
      </c>
      <c r="F17" s="353">
        <v>18500</v>
      </c>
      <c r="G17" s="353">
        <f t="shared" si="0"/>
        <v>18500</v>
      </c>
      <c r="H17" s="353"/>
      <c r="I17" s="353">
        <f t="shared" si="1"/>
        <v>0</v>
      </c>
      <c r="J17" s="353">
        <f t="shared" si="2"/>
        <v>18500</v>
      </c>
      <c r="K17" s="351"/>
    </row>
    <row r="18" spans="1:11">
      <c r="A18" s="350"/>
      <c r="B18" s="355" t="s">
        <v>85</v>
      </c>
      <c r="C18" s="524" t="s">
        <v>315</v>
      </c>
      <c r="D18" s="352">
        <v>1</v>
      </c>
      <c r="E18" s="351" t="s">
        <v>81</v>
      </c>
      <c r="F18" s="353">
        <v>65000</v>
      </c>
      <c r="G18" s="353">
        <f t="shared" si="0"/>
        <v>65000</v>
      </c>
      <c r="H18" s="353"/>
      <c r="I18" s="353">
        <f t="shared" si="1"/>
        <v>0</v>
      </c>
      <c r="J18" s="353">
        <f t="shared" si="2"/>
        <v>65000</v>
      </c>
      <c r="K18" s="351"/>
    </row>
    <row r="19" spans="1:11">
      <c r="A19" s="350"/>
      <c r="B19" s="355" t="s">
        <v>85</v>
      </c>
      <c r="C19" s="524" t="s">
        <v>316</v>
      </c>
      <c r="D19" s="352">
        <v>1</v>
      </c>
      <c r="E19" s="351" t="s">
        <v>81</v>
      </c>
      <c r="F19" s="353">
        <v>85000</v>
      </c>
      <c r="G19" s="353">
        <f t="shared" si="0"/>
        <v>85000</v>
      </c>
      <c r="H19" s="353">
        <v>10000</v>
      </c>
      <c r="I19" s="353">
        <f t="shared" si="1"/>
        <v>10000</v>
      </c>
      <c r="J19" s="353">
        <f t="shared" si="2"/>
        <v>95000</v>
      </c>
      <c r="K19" s="351"/>
    </row>
    <row r="20" spans="1:11">
      <c r="A20" s="350"/>
      <c r="B20" s="355" t="s">
        <v>85</v>
      </c>
      <c r="C20" s="524" t="s">
        <v>317</v>
      </c>
      <c r="D20" s="352">
        <v>1</v>
      </c>
      <c r="E20" s="351" t="s">
        <v>70</v>
      </c>
      <c r="F20" s="353">
        <v>42500</v>
      </c>
      <c r="G20" s="353">
        <f t="shared" si="0"/>
        <v>42500</v>
      </c>
      <c r="H20" s="353"/>
      <c r="I20" s="353">
        <f t="shared" si="1"/>
        <v>0</v>
      </c>
      <c r="J20" s="353">
        <f t="shared" si="2"/>
        <v>42500</v>
      </c>
      <c r="K20" s="351"/>
    </row>
    <row r="21" spans="1:11" ht="51.75" customHeight="1">
      <c r="A21" s="350"/>
      <c r="B21" s="355" t="s">
        <v>85</v>
      </c>
      <c r="C21" s="524" t="s">
        <v>318</v>
      </c>
      <c r="D21" s="352">
        <v>1</v>
      </c>
      <c r="E21" s="351" t="s">
        <v>70</v>
      </c>
      <c r="F21" s="353">
        <v>10000</v>
      </c>
      <c r="G21" s="353">
        <f t="shared" si="0"/>
        <v>10000</v>
      </c>
      <c r="H21" s="353"/>
      <c r="I21" s="353">
        <f t="shared" si="1"/>
        <v>0</v>
      </c>
      <c r="J21" s="353">
        <f t="shared" si="2"/>
        <v>10000</v>
      </c>
      <c r="K21" s="351"/>
    </row>
    <row r="22" spans="1:11" ht="45.75" customHeight="1">
      <c r="A22" s="350"/>
      <c r="B22" s="355" t="s">
        <v>85</v>
      </c>
      <c r="C22" s="524" t="s">
        <v>319</v>
      </c>
      <c r="D22" s="352">
        <v>1</v>
      </c>
      <c r="E22" s="351" t="s">
        <v>70</v>
      </c>
      <c r="F22" s="353">
        <v>25000</v>
      </c>
      <c r="G22" s="353">
        <f t="shared" si="0"/>
        <v>25000</v>
      </c>
      <c r="H22" s="353"/>
      <c r="I22" s="353">
        <f t="shared" si="1"/>
        <v>0</v>
      </c>
      <c r="J22" s="353">
        <f t="shared" si="2"/>
        <v>25000</v>
      </c>
      <c r="K22" s="351"/>
    </row>
    <row r="23" spans="1:11" s="373" customFormat="1">
      <c r="A23" s="369"/>
      <c r="B23" s="370" t="s">
        <v>320</v>
      </c>
      <c r="C23" s="525"/>
      <c r="D23" s="371"/>
      <c r="E23" s="370"/>
      <c r="F23" s="372"/>
      <c r="G23" s="372">
        <f>SUM(G13:G22)</f>
        <v>293020</v>
      </c>
      <c r="H23" s="372"/>
      <c r="I23" s="372">
        <f>SUM(I13:I22)</f>
        <v>10000</v>
      </c>
      <c r="J23" s="403">
        <f>SUM(J13:J22)</f>
        <v>303020</v>
      </c>
      <c r="K23" s="370"/>
    </row>
    <row r="24" spans="1:11" s="453" customFormat="1">
      <c r="A24" s="449" t="s">
        <v>98</v>
      </c>
      <c r="B24" s="450" t="s">
        <v>321</v>
      </c>
      <c r="C24" s="523"/>
      <c r="D24" s="451"/>
      <c r="E24" s="450"/>
      <c r="F24" s="452"/>
      <c r="G24" s="452"/>
      <c r="H24" s="452"/>
      <c r="I24" s="452"/>
      <c r="J24" s="452"/>
      <c r="K24" s="450"/>
    </row>
    <row r="25" spans="1:11">
      <c r="A25" s="350"/>
      <c r="B25" s="355" t="s">
        <v>85</v>
      </c>
      <c r="C25" s="524" t="s">
        <v>311</v>
      </c>
      <c r="D25" s="352">
        <v>4</v>
      </c>
      <c r="E25" s="351" t="s">
        <v>81</v>
      </c>
      <c r="F25" s="353">
        <v>5360</v>
      </c>
      <c r="G25" s="353">
        <f>D25*F25</f>
        <v>21440</v>
      </c>
      <c r="H25" s="353"/>
      <c r="I25" s="353">
        <f>D25*H25</f>
        <v>0</v>
      </c>
      <c r="J25" s="353">
        <f>G25+I25</f>
        <v>21440</v>
      </c>
      <c r="K25" s="351"/>
    </row>
    <row r="26" spans="1:11">
      <c r="A26" s="350"/>
      <c r="B26" s="355" t="s">
        <v>85</v>
      </c>
      <c r="C26" s="524" t="s">
        <v>312</v>
      </c>
      <c r="D26" s="352">
        <v>13</v>
      </c>
      <c r="E26" s="351" t="s">
        <v>81</v>
      </c>
      <c r="F26" s="353">
        <v>3630</v>
      </c>
      <c r="G26" s="353">
        <f t="shared" ref="G26:G30" si="3">D26*F26</f>
        <v>47190</v>
      </c>
      <c r="H26" s="353"/>
      <c r="I26" s="353">
        <f t="shared" ref="I26:I30" si="4">D26*H26</f>
        <v>0</v>
      </c>
      <c r="J26" s="353">
        <f t="shared" ref="J26:J30" si="5">G26+I26</f>
        <v>47190</v>
      </c>
      <c r="K26" s="351"/>
    </row>
    <row r="27" spans="1:11">
      <c r="A27" s="350"/>
      <c r="B27" s="355" t="s">
        <v>85</v>
      </c>
      <c r="C27" s="524" t="s">
        <v>322</v>
      </c>
      <c r="D27" s="352">
        <v>7</v>
      </c>
      <c r="E27" s="351" t="s">
        <v>81</v>
      </c>
      <c r="F27" s="353">
        <v>3120</v>
      </c>
      <c r="G27" s="353">
        <f t="shared" si="3"/>
        <v>21840</v>
      </c>
      <c r="H27" s="353"/>
      <c r="I27" s="353">
        <f t="shared" si="4"/>
        <v>0</v>
      </c>
      <c r="J27" s="353">
        <f t="shared" si="5"/>
        <v>21840</v>
      </c>
      <c r="K27" s="351"/>
    </row>
    <row r="28" spans="1:11">
      <c r="A28" s="350"/>
      <c r="B28" s="355" t="s">
        <v>85</v>
      </c>
      <c r="C28" s="524" t="s">
        <v>314</v>
      </c>
      <c r="D28" s="352">
        <v>4</v>
      </c>
      <c r="E28" s="351" t="s">
        <v>81</v>
      </c>
      <c r="F28" s="353">
        <v>18500</v>
      </c>
      <c r="G28" s="353">
        <f t="shared" si="3"/>
        <v>74000</v>
      </c>
      <c r="H28" s="353"/>
      <c r="I28" s="353">
        <f t="shared" si="4"/>
        <v>0</v>
      </c>
      <c r="J28" s="353">
        <f t="shared" si="5"/>
        <v>74000</v>
      </c>
      <c r="K28" s="351"/>
    </row>
    <row r="29" spans="1:11">
      <c r="A29" s="350"/>
      <c r="B29" s="355" t="s">
        <v>85</v>
      </c>
      <c r="C29" s="524" t="s">
        <v>316</v>
      </c>
      <c r="D29" s="352">
        <v>4</v>
      </c>
      <c r="E29" s="351" t="s">
        <v>81</v>
      </c>
      <c r="F29" s="353">
        <v>50000</v>
      </c>
      <c r="G29" s="353">
        <f t="shared" si="3"/>
        <v>200000</v>
      </c>
      <c r="H29" s="353"/>
      <c r="I29" s="353">
        <f t="shared" si="4"/>
        <v>0</v>
      </c>
      <c r="J29" s="353">
        <f t="shared" si="5"/>
        <v>200000</v>
      </c>
      <c r="K29" s="351"/>
    </row>
    <row r="30" spans="1:11" ht="43.5">
      <c r="A30" s="350"/>
      <c r="B30" s="355" t="s">
        <v>85</v>
      </c>
      <c r="C30" s="524" t="s">
        <v>323</v>
      </c>
      <c r="D30" s="352">
        <v>4</v>
      </c>
      <c r="E30" s="351" t="s">
        <v>70</v>
      </c>
      <c r="F30" s="353">
        <v>15000</v>
      </c>
      <c r="G30" s="353">
        <f t="shared" si="3"/>
        <v>60000</v>
      </c>
      <c r="H30" s="353"/>
      <c r="I30" s="353">
        <f t="shared" si="4"/>
        <v>0</v>
      </c>
      <c r="J30" s="353">
        <f t="shared" si="5"/>
        <v>60000</v>
      </c>
      <c r="K30" s="351"/>
    </row>
    <row r="31" spans="1:11" s="373" customFormat="1">
      <c r="A31" s="369"/>
      <c r="B31" s="370" t="s">
        <v>324</v>
      </c>
      <c r="C31" s="525"/>
      <c r="D31" s="371"/>
      <c r="E31" s="370"/>
      <c r="F31" s="372"/>
      <c r="G31" s="372">
        <f>SUM(G25:G30)</f>
        <v>424470</v>
      </c>
      <c r="H31" s="372"/>
      <c r="I31" s="372">
        <f>SUM(I25:I30)</f>
        <v>0</v>
      </c>
      <c r="J31" s="403">
        <f>SUM(J25:J30)</f>
        <v>424470</v>
      </c>
      <c r="K31" s="370"/>
    </row>
    <row r="32" spans="1:11" s="453" customFormat="1">
      <c r="A32" s="449" t="s">
        <v>99</v>
      </c>
      <c r="B32" s="450" t="s">
        <v>97</v>
      </c>
      <c r="C32" s="523"/>
      <c r="D32" s="451"/>
      <c r="E32" s="450"/>
      <c r="F32" s="452"/>
      <c r="G32" s="452"/>
      <c r="H32" s="452"/>
      <c r="I32" s="452"/>
      <c r="J32" s="452"/>
      <c r="K32" s="450"/>
    </row>
    <row r="33" spans="1:11" ht="87">
      <c r="A33" s="350"/>
      <c r="B33" s="355" t="s">
        <v>85</v>
      </c>
      <c r="C33" s="524" t="s">
        <v>325</v>
      </c>
      <c r="D33" s="352">
        <v>13</v>
      </c>
      <c r="E33" s="351" t="s">
        <v>81</v>
      </c>
      <c r="F33" s="353">
        <v>24250</v>
      </c>
      <c r="G33" s="353">
        <f>D33*F33</f>
        <v>315250</v>
      </c>
      <c r="H33" s="353">
        <v>1000</v>
      </c>
      <c r="I33" s="353">
        <f>D33*H33</f>
        <v>13000</v>
      </c>
      <c r="J33" s="353">
        <f>G33+I33</f>
        <v>328250</v>
      </c>
      <c r="K33" s="351"/>
    </row>
    <row r="34" spans="1:11" ht="65.25">
      <c r="A34" s="350"/>
      <c r="B34" s="355" t="s">
        <v>85</v>
      </c>
      <c r="C34" s="524" t="s">
        <v>326</v>
      </c>
      <c r="D34" s="352">
        <v>5</v>
      </c>
      <c r="E34" s="351" t="s">
        <v>81</v>
      </c>
      <c r="F34" s="353">
        <v>6500</v>
      </c>
      <c r="G34" s="353">
        <f t="shared" ref="G34:G35" si="6">D34*F34</f>
        <v>32500</v>
      </c>
      <c r="H34" s="353">
        <v>500</v>
      </c>
      <c r="I34" s="353">
        <f t="shared" ref="I34:I35" si="7">D34*H34</f>
        <v>2500</v>
      </c>
      <c r="J34" s="353">
        <f t="shared" ref="J34:J35" si="8">G34+I34</f>
        <v>35000</v>
      </c>
      <c r="K34" s="351"/>
    </row>
    <row r="35" spans="1:11">
      <c r="A35" s="350"/>
      <c r="B35" s="355" t="s">
        <v>85</v>
      </c>
      <c r="C35" s="524" t="s">
        <v>69</v>
      </c>
      <c r="D35" s="352">
        <v>1</v>
      </c>
      <c r="E35" s="351" t="s">
        <v>70</v>
      </c>
      <c r="F35" s="353">
        <v>18162.5</v>
      </c>
      <c r="G35" s="353">
        <f t="shared" si="6"/>
        <v>18162.5</v>
      </c>
      <c r="H35" s="353"/>
      <c r="I35" s="353">
        <f t="shared" si="7"/>
        <v>0</v>
      </c>
      <c r="J35" s="353">
        <f t="shared" si="8"/>
        <v>18162.5</v>
      </c>
      <c r="K35" s="351"/>
    </row>
    <row r="36" spans="1:11">
      <c r="A36" s="350"/>
      <c r="B36" s="355"/>
      <c r="C36" s="524"/>
      <c r="D36" s="352"/>
      <c r="E36" s="351"/>
      <c r="F36" s="353"/>
      <c r="G36" s="353"/>
      <c r="H36" s="353"/>
      <c r="I36" s="353"/>
      <c r="J36" s="353"/>
      <c r="K36" s="351"/>
    </row>
    <row r="37" spans="1:11" s="373" customFormat="1">
      <c r="A37" s="369"/>
      <c r="B37" s="370" t="s">
        <v>327</v>
      </c>
      <c r="C37" s="525"/>
      <c r="D37" s="371"/>
      <c r="E37" s="370"/>
      <c r="F37" s="372"/>
      <c r="G37" s="372">
        <f>SUM(G33:G36)</f>
        <v>365912.5</v>
      </c>
      <c r="H37" s="372"/>
      <c r="I37" s="372">
        <f>SUM(I33:I36)</f>
        <v>15500</v>
      </c>
      <c r="J37" s="403">
        <f>SUM(J33:J36)</f>
        <v>381412.5</v>
      </c>
      <c r="K37" s="370"/>
    </row>
    <row r="38" spans="1:11" s="453" customFormat="1">
      <c r="A38" s="449" t="s">
        <v>100</v>
      </c>
      <c r="B38" s="454" t="s">
        <v>68</v>
      </c>
      <c r="C38" s="526"/>
      <c r="D38" s="451"/>
      <c r="E38" s="450"/>
      <c r="F38" s="452"/>
      <c r="G38" s="452"/>
      <c r="H38" s="452"/>
      <c r="I38" s="452"/>
      <c r="J38" s="452"/>
      <c r="K38" s="450"/>
    </row>
    <row r="39" spans="1:11">
      <c r="A39" s="350"/>
      <c r="B39" s="355" t="s">
        <v>85</v>
      </c>
      <c r="C39" s="524" t="s">
        <v>328</v>
      </c>
      <c r="D39" s="352">
        <v>640</v>
      </c>
      <c r="E39" s="351" t="s">
        <v>82</v>
      </c>
      <c r="F39" s="353">
        <v>658</v>
      </c>
      <c r="G39" s="353">
        <f>D39*F39</f>
        <v>421120</v>
      </c>
      <c r="H39" s="353">
        <v>60</v>
      </c>
      <c r="I39" s="353">
        <f>D39*H39</f>
        <v>38400</v>
      </c>
      <c r="J39" s="353">
        <f>G39+I39</f>
        <v>459520</v>
      </c>
      <c r="K39" s="351"/>
    </row>
    <row r="40" spans="1:11">
      <c r="A40" s="350"/>
      <c r="B40" s="355" t="s">
        <v>85</v>
      </c>
      <c r="C40" s="524" t="s">
        <v>329</v>
      </c>
      <c r="D40" s="352">
        <v>2040</v>
      </c>
      <c r="E40" s="351" t="s">
        <v>82</v>
      </c>
      <c r="F40" s="353">
        <v>264</v>
      </c>
      <c r="G40" s="353">
        <f t="shared" ref="G40:G47" si="9">D40*F40</f>
        <v>538560</v>
      </c>
      <c r="H40" s="353">
        <v>40</v>
      </c>
      <c r="I40" s="353">
        <f t="shared" ref="I40:I46" si="10">D40*H40</f>
        <v>81600</v>
      </c>
      <c r="J40" s="353">
        <f t="shared" ref="J40:J47" si="11">G40+I40</f>
        <v>620160</v>
      </c>
      <c r="K40" s="351"/>
    </row>
    <row r="41" spans="1:11">
      <c r="A41" s="350"/>
      <c r="B41" s="355" t="s">
        <v>85</v>
      </c>
      <c r="C41" s="524" t="s">
        <v>330</v>
      </c>
      <c r="D41" s="352">
        <v>546</v>
      </c>
      <c r="E41" s="351" t="s">
        <v>82</v>
      </c>
      <c r="F41" s="353">
        <v>88</v>
      </c>
      <c r="G41" s="353">
        <f t="shared" si="9"/>
        <v>48048</v>
      </c>
      <c r="H41" s="353">
        <v>20</v>
      </c>
      <c r="I41" s="353">
        <f t="shared" si="10"/>
        <v>10920</v>
      </c>
      <c r="J41" s="353">
        <f t="shared" si="11"/>
        <v>58968</v>
      </c>
      <c r="K41" s="351"/>
    </row>
    <row r="42" spans="1:11">
      <c r="A42" s="350"/>
      <c r="B42" s="355" t="s">
        <v>85</v>
      </c>
      <c r="C42" s="524" t="s">
        <v>331</v>
      </c>
      <c r="D42" s="352">
        <v>650</v>
      </c>
      <c r="E42" s="351" t="s">
        <v>82</v>
      </c>
      <c r="F42" s="353">
        <v>55</v>
      </c>
      <c r="G42" s="353">
        <f t="shared" si="9"/>
        <v>35750</v>
      </c>
      <c r="H42" s="353">
        <v>16</v>
      </c>
      <c r="I42" s="353">
        <f t="shared" si="10"/>
        <v>10400</v>
      </c>
      <c r="J42" s="353">
        <f t="shared" si="11"/>
        <v>46150</v>
      </c>
      <c r="K42" s="351"/>
    </row>
    <row r="43" spans="1:11">
      <c r="A43" s="350"/>
      <c r="B43" s="355" t="s">
        <v>85</v>
      </c>
      <c r="C43" s="524" t="s">
        <v>332</v>
      </c>
      <c r="D43" s="352">
        <v>193</v>
      </c>
      <c r="E43" s="351" t="s">
        <v>82</v>
      </c>
      <c r="F43" s="353">
        <v>34</v>
      </c>
      <c r="G43" s="353">
        <f t="shared" si="9"/>
        <v>6562</v>
      </c>
      <c r="H43" s="353">
        <v>12</v>
      </c>
      <c r="I43" s="353">
        <f t="shared" si="10"/>
        <v>2316</v>
      </c>
      <c r="J43" s="353">
        <f t="shared" si="11"/>
        <v>8878</v>
      </c>
      <c r="K43" s="351"/>
    </row>
    <row r="44" spans="1:11">
      <c r="A44" s="350"/>
      <c r="B44" s="355" t="s">
        <v>85</v>
      </c>
      <c r="C44" s="524" t="s">
        <v>83</v>
      </c>
      <c r="D44" s="352">
        <v>3750</v>
      </c>
      <c r="E44" s="351" t="s">
        <v>82</v>
      </c>
      <c r="F44" s="353">
        <v>22</v>
      </c>
      <c r="G44" s="353">
        <f t="shared" si="9"/>
        <v>82500</v>
      </c>
      <c r="H44" s="353">
        <v>10</v>
      </c>
      <c r="I44" s="353">
        <f t="shared" si="10"/>
        <v>37500</v>
      </c>
      <c r="J44" s="353">
        <f t="shared" si="11"/>
        <v>120000</v>
      </c>
      <c r="K44" s="351"/>
    </row>
    <row r="45" spans="1:11">
      <c r="A45" s="350"/>
      <c r="B45" s="355" t="s">
        <v>85</v>
      </c>
      <c r="C45" s="524" t="s">
        <v>84</v>
      </c>
      <c r="D45" s="352">
        <v>4956</v>
      </c>
      <c r="E45" s="351" t="s">
        <v>82</v>
      </c>
      <c r="F45" s="353">
        <v>14</v>
      </c>
      <c r="G45" s="353">
        <f t="shared" si="9"/>
        <v>69384</v>
      </c>
      <c r="H45" s="353">
        <v>7</v>
      </c>
      <c r="I45" s="353">
        <f t="shared" si="10"/>
        <v>34692</v>
      </c>
      <c r="J45" s="353">
        <f t="shared" si="11"/>
        <v>104076</v>
      </c>
      <c r="K45" s="351"/>
    </row>
    <row r="46" spans="1:11">
      <c r="A46" s="350"/>
      <c r="B46" s="355" t="s">
        <v>85</v>
      </c>
      <c r="C46" s="524" t="s">
        <v>333</v>
      </c>
      <c r="D46" s="352">
        <v>256</v>
      </c>
      <c r="E46" s="351" t="s">
        <v>82</v>
      </c>
      <c r="F46" s="353">
        <v>487</v>
      </c>
      <c r="G46" s="353">
        <f t="shared" si="9"/>
        <v>124672</v>
      </c>
      <c r="H46" s="353">
        <v>85</v>
      </c>
      <c r="I46" s="353">
        <f t="shared" si="10"/>
        <v>21760</v>
      </c>
      <c r="J46" s="353">
        <f t="shared" si="11"/>
        <v>146432</v>
      </c>
      <c r="K46" s="351"/>
    </row>
    <row r="47" spans="1:11">
      <c r="A47" s="350"/>
      <c r="B47" s="355" t="s">
        <v>85</v>
      </c>
      <c r="C47" s="524" t="s">
        <v>69</v>
      </c>
      <c r="D47" s="352">
        <v>1</v>
      </c>
      <c r="E47" s="351" t="s">
        <v>70</v>
      </c>
      <c r="F47" s="353">
        <v>56256.3</v>
      </c>
      <c r="G47" s="353">
        <f t="shared" si="9"/>
        <v>56256.3</v>
      </c>
      <c r="H47" s="353"/>
      <c r="I47" s="353">
        <v>0</v>
      </c>
      <c r="J47" s="353">
        <f t="shared" si="11"/>
        <v>56256.3</v>
      </c>
      <c r="K47" s="351"/>
    </row>
    <row r="48" spans="1:11">
      <c r="A48" s="350"/>
      <c r="B48" s="355"/>
      <c r="C48" s="524"/>
      <c r="D48" s="352"/>
      <c r="E48" s="351"/>
      <c r="F48" s="353"/>
      <c r="G48" s="353"/>
      <c r="H48" s="353"/>
      <c r="I48" s="353"/>
      <c r="J48" s="353"/>
      <c r="K48" s="351"/>
    </row>
    <row r="49" spans="1:11" s="373" customFormat="1">
      <c r="A49" s="369"/>
      <c r="B49" s="370" t="s">
        <v>334</v>
      </c>
      <c r="C49" s="525"/>
      <c r="D49" s="371"/>
      <c r="E49" s="370"/>
      <c r="F49" s="372"/>
      <c r="G49" s="372">
        <f>SUM(G39:G48)</f>
        <v>1382852.3</v>
      </c>
      <c r="H49" s="372"/>
      <c r="I49" s="372">
        <f>SUM(I39:I48)</f>
        <v>237588</v>
      </c>
      <c r="J49" s="403">
        <f>SUM(J39:J48)</f>
        <v>1620440.3</v>
      </c>
      <c r="K49" s="370"/>
    </row>
    <row r="50" spans="1:11" s="453" customFormat="1">
      <c r="A50" s="449" t="s">
        <v>101</v>
      </c>
      <c r="B50" s="450" t="s">
        <v>67</v>
      </c>
      <c r="C50" s="523"/>
      <c r="D50" s="451"/>
      <c r="E50" s="450"/>
      <c r="F50" s="452"/>
      <c r="G50" s="452"/>
      <c r="H50" s="452"/>
      <c r="I50" s="452"/>
      <c r="J50" s="452"/>
      <c r="K50" s="450"/>
    </row>
    <row r="51" spans="1:11">
      <c r="A51" s="350"/>
      <c r="B51" s="355" t="s">
        <v>85</v>
      </c>
      <c r="C51" s="524" t="s">
        <v>335</v>
      </c>
      <c r="D51" s="352">
        <v>70</v>
      </c>
      <c r="E51" s="351" t="s">
        <v>82</v>
      </c>
      <c r="F51" s="353">
        <v>652</v>
      </c>
      <c r="G51" s="353">
        <f>D51*F51</f>
        <v>45640</v>
      </c>
      <c r="H51" s="353">
        <v>62</v>
      </c>
      <c r="I51" s="353">
        <f>D51*H51</f>
        <v>4340</v>
      </c>
      <c r="J51" s="353">
        <f>G51+I51</f>
        <v>49980</v>
      </c>
      <c r="K51" s="351"/>
    </row>
    <row r="52" spans="1:11">
      <c r="A52" s="350"/>
      <c r="B52" s="355" t="s">
        <v>85</v>
      </c>
      <c r="C52" s="524" t="s">
        <v>336</v>
      </c>
      <c r="D52" s="352">
        <v>200</v>
      </c>
      <c r="E52" s="351" t="s">
        <v>82</v>
      </c>
      <c r="F52" s="353">
        <v>401</v>
      </c>
      <c r="G52" s="353">
        <f t="shared" ref="G52:G58" si="12">D52*F52</f>
        <v>80200</v>
      </c>
      <c r="H52" s="353">
        <v>52</v>
      </c>
      <c r="I52" s="353">
        <f t="shared" ref="I52:I58" si="13">D52*H52</f>
        <v>10400</v>
      </c>
      <c r="J52" s="353">
        <f t="shared" ref="J52:J58" si="14">G52+I52</f>
        <v>90600</v>
      </c>
      <c r="K52" s="351"/>
    </row>
    <row r="53" spans="1:11">
      <c r="A53" s="350"/>
      <c r="B53" s="355" t="s">
        <v>85</v>
      </c>
      <c r="C53" s="524" t="s">
        <v>337</v>
      </c>
      <c r="D53" s="352">
        <v>510</v>
      </c>
      <c r="E53" s="351" t="s">
        <v>82</v>
      </c>
      <c r="F53" s="353">
        <v>184</v>
      </c>
      <c r="G53" s="353">
        <f t="shared" si="12"/>
        <v>93840</v>
      </c>
      <c r="H53" s="353">
        <v>45</v>
      </c>
      <c r="I53" s="353">
        <f t="shared" si="13"/>
        <v>22950</v>
      </c>
      <c r="J53" s="353">
        <f t="shared" si="14"/>
        <v>116790</v>
      </c>
      <c r="K53" s="351"/>
    </row>
    <row r="54" spans="1:11">
      <c r="A54" s="350"/>
      <c r="B54" s="355" t="s">
        <v>85</v>
      </c>
      <c r="C54" s="524" t="s">
        <v>338</v>
      </c>
      <c r="D54" s="352">
        <v>193</v>
      </c>
      <c r="E54" s="351" t="s">
        <v>82</v>
      </c>
      <c r="F54" s="353">
        <v>64</v>
      </c>
      <c r="G54" s="353">
        <f t="shared" si="12"/>
        <v>12352</v>
      </c>
      <c r="H54" s="353">
        <v>30</v>
      </c>
      <c r="I54" s="353">
        <f t="shared" si="13"/>
        <v>5790</v>
      </c>
      <c r="J54" s="353">
        <f t="shared" si="14"/>
        <v>18142</v>
      </c>
      <c r="K54" s="351"/>
    </row>
    <row r="55" spans="1:11">
      <c r="A55" s="350"/>
      <c r="B55" s="355" t="s">
        <v>85</v>
      </c>
      <c r="C55" s="524" t="s">
        <v>339</v>
      </c>
      <c r="D55" s="352">
        <v>1150</v>
      </c>
      <c r="E55" s="351" t="s">
        <v>82</v>
      </c>
      <c r="F55" s="353">
        <v>44</v>
      </c>
      <c r="G55" s="353">
        <f t="shared" si="12"/>
        <v>50600</v>
      </c>
      <c r="H55" s="353">
        <v>24</v>
      </c>
      <c r="I55" s="353">
        <f t="shared" si="13"/>
        <v>27600</v>
      </c>
      <c r="J55" s="353">
        <f t="shared" si="14"/>
        <v>78200</v>
      </c>
      <c r="K55" s="351"/>
    </row>
    <row r="56" spans="1:11">
      <c r="A56" s="350"/>
      <c r="B56" s="355" t="s">
        <v>85</v>
      </c>
      <c r="C56" s="524" t="s">
        <v>340</v>
      </c>
      <c r="D56" s="352">
        <v>3450</v>
      </c>
      <c r="E56" s="351" t="s">
        <v>82</v>
      </c>
      <c r="F56" s="353">
        <v>28</v>
      </c>
      <c r="G56" s="353">
        <f t="shared" si="12"/>
        <v>96600</v>
      </c>
      <c r="H56" s="353">
        <v>18</v>
      </c>
      <c r="I56" s="353">
        <f t="shared" si="13"/>
        <v>62100</v>
      </c>
      <c r="J56" s="353">
        <f t="shared" si="14"/>
        <v>158700</v>
      </c>
      <c r="K56" s="351"/>
    </row>
    <row r="57" spans="1:11">
      <c r="A57" s="350"/>
      <c r="B57" s="355" t="s">
        <v>85</v>
      </c>
      <c r="C57" s="524" t="s">
        <v>341</v>
      </c>
      <c r="D57" s="352">
        <v>650</v>
      </c>
      <c r="E57" s="351" t="s">
        <v>82</v>
      </c>
      <c r="F57" s="353">
        <v>18</v>
      </c>
      <c r="G57" s="353">
        <f t="shared" si="12"/>
        <v>11700</v>
      </c>
      <c r="H57" s="353">
        <v>5</v>
      </c>
      <c r="I57" s="353">
        <f t="shared" si="13"/>
        <v>3250</v>
      </c>
      <c r="J57" s="353">
        <f t="shared" si="14"/>
        <v>14950</v>
      </c>
      <c r="K57" s="351"/>
    </row>
    <row r="58" spans="1:11">
      <c r="A58" s="350"/>
      <c r="B58" s="355" t="s">
        <v>85</v>
      </c>
      <c r="C58" s="524" t="s">
        <v>342</v>
      </c>
      <c r="D58" s="352">
        <v>1</v>
      </c>
      <c r="E58" s="351" t="s">
        <v>70</v>
      </c>
      <c r="F58" s="353">
        <v>26368.100000000002</v>
      </c>
      <c r="G58" s="353">
        <f t="shared" si="12"/>
        <v>26368.100000000002</v>
      </c>
      <c r="H58" s="353"/>
      <c r="I58" s="353">
        <f t="shared" si="13"/>
        <v>0</v>
      </c>
      <c r="J58" s="353">
        <f t="shared" si="14"/>
        <v>26368.100000000002</v>
      </c>
      <c r="K58" s="351"/>
    </row>
    <row r="59" spans="1:11" s="373" customFormat="1">
      <c r="A59" s="369"/>
      <c r="B59" s="370" t="s">
        <v>343</v>
      </c>
      <c r="C59" s="525"/>
      <c r="D59" s="371"/>
      <c r="E59" s="370"/>
      <c r="F59" s="372"/>
      <c r="G59" s="372">
        <f>SUM(G51:G58)</f>
        <v>417300.1</v>
      </c>
      <c r="H59" s="372"/>
      <c r="I59" s="372">
        <f>SUM(I51:I58)</f>
        <v>136430</v>
      </c>
      <c r="J59" s="403">
        <f>SUM(J51:J58)</f>
        <v>553730.1</v>
      </c>
      <c r="K59" s="370"/>
    </row>
    <row r="60" spans="1:11" s="453" customFormat="1">
      <c r="A60" s="449" t="s">
        <v>100</v>
      </c>
      <c r="B60" s="450" t="s">
        <v>66</v>
      </c>
      <c r="C60" s="523"/>
      <c r="D60" s="451"/>
      <c r="E60" s="450"/>
      <c r="F60" s="452"/>
      <c r="G60" s="452"/>
      <c r="H60" s="452"/>
      <c r="I60" s="452"/>
      <c r="J60" s="452"/>
      <c r="K60" s="450"/>
    </row>
    <row r="61" spans="1:11" ht="43.5">
      <c r="A61" s="350"/>
      <c r="B61" s="355" t="s">
        <v>85</v>
      </c>
      <c r="C61" s="524" t="s">
        <v>344</v>
      </c>
      <c r="D61" s="352">
        <v>442</v>
      </c>
      <c r="E61" s="351" t="s">
        <v>81</v>
      </c>
      <c r="F61" s="353">
        <v>1490</v>
      </c>
      <c r="G61" s="353">
        <f>D61*F61</f>
        <v>658580</v>
      </c>
      <c r="H61" s="353">
        <v>150</v>
      </c>
      <c r="I61" s="353">
        <f>H61*D61</f>
        <v>66300</v>
      </c>
      <c r="J61" s="353">
        <f>G61+I61</f>
        <v>724880</v>
      </c>
      <c r="K61" s="351"/>
    </row>
    <row r="62" spans="1:11">
      <c r="A62" s="350"/>
      <c r="B62" s="355" t="s">
        <v>85</v>
      </c>
      <c r="C62" s="524" t="s">
        <v>345</v>
      </c>
      <c r="D62" s="352">
        <v>427</v>
      </c>
      <c r="E62" s="351" t="s">
        <v>81</v>
      </c>
      <c r="F62" s="353">
        <v>350</v>
      </c>
      <c r="G62" s="353">
        <f>D62*F62</f>
        <v>149450</v>
      </c>
      <c r="H62" s="353">
        <v>150</v>
      </c>
      <c r="I62" s="353">
        <f>H62*D62</f>
        <v>64050</v>
      </c>
      <c r="J62" s="353">
        <f t="shared" ref="J62:J67" si="15">G62+I62</f>
        <v>213500</v>
      </c>
      <c r="K62" s="351"/>
    </row>
    <row r="63" spans="1:11" ht="43.5">
      <c r="A63" s="350"/>
      <c r="B63" s="355" t="s">
        <v>85</v>
      </c>
      <c r="C63" s="524" t="s">
        <v>346</v>
      </c>
      <c r="D63" s="352">
        <v>123</v>
      </c>
      <c r="E63" s="351" t="s">
        <v>81</v>
      </c>
      <c r="F63" s="353">
        <v>400</v>
      </c>
      <c r="G63" s="353">
        <f t="shared" ref="G63:G67" si="16">D63*F63</f>
        <v>49200</v>
      </c>
      <c r="H63" s="353">
        <v>150</v>
      </c>
      <c r="I63" s="353">
        <f t="shared" ref="I63:I67" si="17">H63*D63</f>
        <v>18450</v>
      </c>
      <c r="J63" s="353">
        <f t="shared" si="15"/>
        <v>67650</v>
      </c>
      <c r="K63" s="351"/>
    </row>
    <row r="64" spans="1:11" ht="43.5">
      <c r="A64" s="350"/>
      <c r="B64" s="355" t="s">
        <v>85</v>
      </c>
      <c r="C64" s="524" t="s">
        <v>347</v>
      </c>
      <c r="D64" s="352">
        <v>10</v>
      </c>
      <c r="E64" s="351" t="s">
        <v>81</v>
      </c>
      <c r="F64" s="353">
        <v>1950</v>
      </c>
      <c r="G64" s="353">
        <f t="shared" si="16"/>
        <v>19500</v>
      </c>
      <c r="H64" s="353">
        <v>150</v>
      </c>
      <c r="I64" s="353">
        <f t="shared" si="17"/>
        <v>1500</v>
      </c>
      <c r="J64" s="353">
        <f t="shared" si="15"/>
        <v>21000</v>
      </c>
      <c r="K64" s="351"/>
    </row>
    <row r="65" spans="1:11">
      <c r="A65" s="350"/>
      <c r="B65" s="355" t="s">
        <v>85</v>
      </c>
      <c r="C65" s="524" t="s">
        <v>348</v>
      </c>
      <c r="D65" s="352">
        <v>25</v>
      </c>
      <c r="E65" s="351" t="s">
        <v>81</v>
      </c>
      <c r="F65" s="353">
        <v>1125</v>
      </c>
      <c r="G65" s="353">
        <f t="shared" si="16"/>
        <v>28125</v>
      </c>
      <c r="H65" s="353">
        <v>150</v>
      </c>
      <c r="I65" s="353">
        <f t="shared" si="17"/>
        <v>3750</v>
      </c>
      <c r="J65" s="353">
        <f t="shared" si="15"/>
        <v>31875</v>
      </c>
      <c r="K65" s="351"/>
    </row>
    <row r="66" spans="1:11">
      <c r="A66" s="350"/>
      <c r="B66" s="355" t="s">
        <v>85</v>
      </c>
      <c r="C66" s="524" t="s">
        <v>349</v>
      </c>
      <c r="D66" s="352">
        <v>21</v>
      </c>
      <c r="E66" s="351" t="s">
        <v>81</v>
      </c>
      <c r="F66" s="353">
        <v>1650</v>
      </c>
      <c r="G66" s="353">
        <f t="shared" si="16"/>
        <v>34650</v>
      </c>
      <c r="H66" s="353">
        <v>150</v>
      </c>
      <c r="I66" s="353">
        <f t="shared" si="17"/>
        <v>3150</v>
      </c>
      <c r="J66" s="353">
        <f t="shared" si="15"/>
        <v>37800</v>
      </c>
      <c r="K66" s="351"/>
    </row>
    <row r="67" spans="1:11">
      <c r="A67" s="350"/>
      <c r="B67" s="355" t="s">
        <v>85</v>
      </c>
      <c r="C67" s="524" t="s">
        <v>69</v>
      </c>
      <c r="D67" s="352">
        <v>1</v>
      </c>
      <c r="E67" s="351" t="s">
        <v>70</v>
      </c>
      <c r="F67" s="353">
        <v>53951.25</v>
      </c>
      <c r="G67" s="353">
        <f t="shared" si="16"/>
        <v>53951.25</v>
      </c>
      <c r="H67" s="353">
        <v>0</v>
      </c>
      <c r="I67" s="353">
        <f t="shared" si="17"/>
        <v>0</v>
      </c>
      <c r="J67" s="353">
        <f t="shared" si="15"/>
        <v>53951.25</v>
      </c>
      <c r="K67" s="351"/>
    </row>
    <row r="68" spans="1:11">
      <c r="A68" s="350"/>
      <c r="B68" s="355"/>
      <c r="C68" s="524"/>
      <c r="D68" s="352"/>
      <c r="E68" s="351"/>
      <c r="F68" s="353"/>
      <c r="G68" s="353"/>
      <c r="H68" s="353"/>
      <c r="I68" s="353"/>
      <c r="J68" s="353"/>
      <c r="K68" s="351"/>
    </row>
    <row r="69" spans="1:11" s="373" customFormat="1">
      <c r="A69" s="369"/>
      <c r="B69" s="370" t="s">
        <v>350</v>
      </c>
      <c r="C69" s="525"/>
      <c r="D69" s="371"/>
      <c r="E69" s="370"/>
      <c r="F69" s="372"/>
      <c r="G69" s="372">
        <f>SUM(G61:G68)</f>
        <v>993456.25</v>
      </c>
      <c r="H69" s="372"/>
      <c r="I69" s="372">
        <f>SUM(I61:I68)</f>
        <v>157200</v>
      </c>
      <c r="J69" s="403">
        <f>SUM(J61:J68)</f>
        <v>1150656.25</v>
      </c>
      <c r="K69" s="370"/>
    </row>
    <row r="70" spans="1:11" s="453" customFormat="1">
      <c r="A70" s="449" t="s">
        <v>101</v>
      </c>
      <c r="B70" s="450" t="s">
        <v>102</v>
      </c>
      <c r="C70" s="523"/>
      <c r="D70" s="451"/>
      <c r="E70" s="450"/>
      <c r="F70" s="452"/>
      <c r="G70" s="452"/>
      <c r="H70" s="452"/>
      <c r="I70" s="452"/>
      <c r="J70" s="452"/>
      <c r="K70" s="450"/>
    </row>
    <row r="71" spans="1:11">
      <c r="A71" s="350"/>
      <c r="B71" s="355" t="s">
        <v>85</v>
      </c>
      <c r="C71" s="524" t="s">
        <v>103</v>
      </c>
      <c r="D71" s="352">
        <v>73</v>
      </c>
      <c r="E71" s="351" t="s">
        <v>81</v>
      </c>
      <c r="F71" s="353">
        <v>60</v>
      </c>
      <c r="G71" s="353">
        <f>D71*F71</f>
        <v>4380</v>
      </c>
      <c r="H71" s="353">
        <v>55</v>
      </c>
      <c r="I71" s="353">
        <f>D71*H71</f>
        <v>4015</v>
      </c>
      <c r="J71" s="353">
        <f>G71+I71</f>
        <v>8395</v>
      </c>
      <c r="K71" s="351"/>
    </row>
    <row r="72" spans="1:11">
      <c r="A72" s="350"/>
      <c r="B72" s="355" t="s">
        <v>85</v>
      </c>
      <c r="C72" s="524" t="s">
        <v>351</v>
      </c>
      <c r="D72" s="352">
        <v>156</v>
      </c>
      <c r="E72" s="351" t="s">
        <v>81</v>
      </c>
      <c r="F72" s="353">
        <v>120</v>
      </c>
      <c r="G72" s="353">
        <f t="shared" ref="G72:G73" si="18">D72*F72</f>
        <v>18720</v>
      </c>
      <c r="H72" s="353">
        <v>55</v>
      </c>
      <c r="I72" s="353">
        <f t="shared" ref="I72:I73" si="19">D72*H72</f>
        <v>8580</v>
      </c>
      <c r="J72" s="353">
        <f t="shared" ref="J72:J73" si="20">G72+I72</f>
        <v>27300</v>
      </c>
      <c r="K72" s="351"/>
    </row>
    <row r="73" spans="1:11">
      <c r="A73" s="350"/>
      <c r="B73" s="355" t="s">
        <v>85</v>
      </c>
      <c r="C73" s="524" t="s">
        <v>69</v>
      </c>
      <c r="D73" s="352">
        <v>1</v>
      </c>
      <c r="E73" s="351" t="s">
        <v>70</v>
      </c>
      <c r="F73" s="353">
        <v>3569.5</v>
      </c>
      <c r="G73" s="353">
        <f t="shared" si="18"/>
        <v>3569.5</v>
      </c>
      <c r="H73" s="353">
        <v>0</v>
      </c>
      <c r="I73" s="353">
        <f t="shared" si="19"/>
        <v>0</v>
      </c>
      <c r="J73" s="353">
        <f t="shared" si="20"/>
        <v>3569.5</v>
      </c>
      <c r="K73" s="351"/>
    </row>
    <row r="74" spans="1:11">
      <c r="A74" s="350"/>
      <c r="B74" s="355"/>
      <c r="C74" s="524"/>
      <c r="D74" s="352"/>
      <c r="E74" s="351"/>
      <c r="F74" s="353"/>
      <c r="G74" s="353"/>
      <c r="H74" s="353"/>
      <c r="I74" s="353"/>
      <c r="J74" s="353"/>
      <c r="K74" s="351"/>
    </row>
    <row r="75" spans="1:11" s="373" customFormat="1">
      <c r="A75" s="369"/>
      <c r="B75" s="370" t="s">
        <v>352</v>
      </c>
      <c r="C75" s="525"/>
      <c r="D75" s="371"/>
      <c r="E75" s="370"/>
      <c r="F75" s="372"/>
      <c r="G75" s="372">
        <f>SUM(G71:G74)</f>
        <v>26669.5</v>
      </c>
      <c r="H75" s="372"/>
      <c r="I75" s="372">
        <f>SUM(I71:I74)</f>
        <v>12595</v>
      </c>
      <c r="J75" s="403">
        <f>SUM(J71:J74)</f>
        <v>39264.5</v>
      </c>
      <c r="K75" s="370"/>
    </row>
    <row r="76" spans="1:11" s="453" customFormat="1">
      <c r="A76" s="449" t="s">
        <v>104</v>
      </c>
      <c r="B76" s="450" t="s">
        <v>105</v>
      </c>
      <c r="C76" s="523"/>
      <c r="D76" s="451"/>
      <c r="E76" s="450"/>
      <c r="F76" s="452"/>
      <c r="G76" s="452"/>
      <c r="H76" s="452"/>
      <c r="I76" s="452"/>
      <c r="J76" s="452"/>
      <c r="K76" s="450"/>
    </row>
    <row r="77" spans="1:11">
      <c r="A77" s="350"/>
      <c r="B77" s="355" t="s">
        <v>85</v>
      </c>
      <c r="C77" s="524" t="s">
        <v>353</v>
      </c>
      <c r="D77" s="352">
        <v>164</v>
      </c>
      <c r="E77" s="351" t="s">
        <v>81</v>
      </c>
      <c r="F77" s="353">
        <v>180</v>
      </c>
      <c r="G77" s="353">
        <f>D77*F77</f>
        <v>29520</v>
      </c>
      <c r="H77" s="353">
        <v>90</v>
      </c>
      <c r="I77" s="353">
        <f>D77*H77</f>
        <v>14760</v>
      </c>
      <c r="J77" s="353">
        <f>G77+I77</f>
        <v>44280</v>
      </c>
      <c r="K77" s="351"/>
    </row>
    <row r="78" spans="1:11">
      <c r="A78" s="350"/>
      <c r="B78" s="355" t="s">
        <v>85</v>
      </c>
      <c r="C78" s="524" t="s">
        <v>354</v>
      </c>
      <c r="D78" s="352">
        <v>87</v>
      </c>
      <c r="E78" s="351" t="s">
        <v>81</v>
      </c>
      <c r="F78" s="353">
        <v>180</v>
      </c>
      <c r="G78" s="353">
        <f t="shared" ref="G78:G82" si="21">D78*F78</f>
        <v>15660</v>
      </c>
      <c r="H78" s="353">
        <v>90</v>
      </c>
      <c r="I78" s="353">
        <f t="shared" ref="I78:I82" si="22">D78*H78</f>
        <v>7830</v>
      </c>
      <c r="J78" s="353">
        <f t="shared" ref="J78:J82" si="23">G78+I78</f>
        <v>23490</v>
      </c>
      <c r="K78" s="351"/>
    </row>
    <row r="79" spans="1:11" ht="43.5">
      <c r="A79" s="350"/>
      <c r="B79" s="355" t="s">
        <v>85</v>
      </c>
      <c r="C79" s="524" t="s">
        <v>355</v>
      </c>
      <c r="D79" s="352">
        <v>18</v>
      </c>
      <c r="E79" s="351" t="s">
        <v>81</v>
      </c>
      <c r="F79" s="353">
        <v>2145</v>
      </c>
      <c r="G79" s="353">
        <f t="shared" si="21"/>
        <v>38610</v>
      </c>
      <c r="H79" s="353">
        <v>160</v>
      </c>
      <c r="I79" s="353">
        <f t="shared" si="22"/>
        <v>2880</v>
      </c>
      <c r="J79" s="353">
        <f t="shared" si="23"/>
        <v>41490</v>
      </c>
      <c r="K79" s="351"/>
    </row>
    <row r="80" spans="1:11" ht="43.5">
      <c r="A80" s="350"/>
      <c r="B80" s="355" t="s">
        <v>85</v>
      </c>
      <c r="C80" s="524" t="s">
        <v>356</v>
      </c>
      <c r="D80" s="352">
        <v>43</v>
      </c>
      <c r="E80" s="351" t="s">
        <v>81</v>
      </c>
      <c r="F80" s="353">
        <v>0</v>
      </c>
      <c r="G80" s="353">
        <f t="shared" si="21"/>
        <v>0</v>
      </c>
      <c r="H80" s="353">
        <v>250</v>
      </c>
      <c r="I80" s="353">
        <f t="shared" si="22"/>
        <v>10750</v>
      </c>
      <c r="J80" s="353">
        <f t="shared" si="23"/>
        <v>10750</v>
      </c>
      <c r="K80" s="351"/>
    </row>
    <row r="81" spans="1:11">
      <c r="A81" s="350"/>
      <c r="B81" s="355" t="s">
        <v>85</v>
      </c>
      <c r="C81" s="524" t="s">
        <v>357</v>
      </c>
      <c r="D81" s="352">
        <v>37</v>
      </c>
      <c r="E81" s="351" t="s">
        <v>81</v>
      </c>
      <c r="F81" s="353">
        <v>0</v>
      </c>
      <c r="G81" s="353">
        <f t="shared" ref="G81" si="24">D81*F81</f>
        <v>0</v>
      </c>
      <c r="H81" s="353">
        <v>250</v>
      </c>
      <c r="I81" s="353">
        <f t="shared" ref="I81" si="25">D81*H81</f>
        <v>9250</v>
      </c>
      <c r="J81" s="353">
        <f t="shared" ref="J81" si="26">G81+I81</f>
        <v>9250</v>
      </c>
      <c r="K81" s="351"/>
    </row>
    <row r="82" spans="1:11">
      <c r="A82" s="350"/>
      <c r="B82" s="355" t="s">
        <v>85</v>
      </c>
      <c r="C82" s="524" t="s">
        <v>69</v>
      </c>
      <c r="D82" s="352">
        <v>1</v>
      </c>
      <c r="E82" s="351" t="s">
        <v>70</v>
      </c>
      <c r="F82" s="353">
        <v>3570</v>
      </c>
      <c r="G82" s="353">
        <f t="shared" si="21"/>
        <v>3570</v>
      </c>
      <c r="H82" s="353">
        <v>0</v>
      </c>
      <c r="I82" s="353">
        <f t="shared" si="22"/>
        <v>0</v>
      </c>
      <c r="J82" s="353">
        <f t="shared" si="23"/>
        <v>3570</v>
      </c>
      <c r="K82" s="351"/>
    </row>
    <row r="83" spans="1:11" s="373" customFormat="1">
      <c r="A83" s="369"/>
      <c r="B83" s="370" t="s">
        <v>358</v>
      </c>
      <c r="C83" s="525"/>
      <c r="D83" s="371"/>
      <c r="E83" s="370"/>
      <c r="F83" s="372"/>
      <c r="G83" s="372">
        <f>SUM(G77:G82)</f>
        <v>87360</v>
      </c>
      <c r="H83" s="372"/>
      <c r="I83" s="372">
        <f>SUM(I77:I82)</f>
        <v>45470</v>
      </c>
      <c r="J83" s="403">
        <f>SUM(J77:J82)</f>
        <v>132830</v>
      </c>
      <c r="K83" s="370"/>
    </row>
    <row r="84" spans="1:11" s="453" customFormat="1">
      <c r="A84" s="449" t="s">
        <v>106</v>
      </c>
      <c r="B84" s="450" t="s">
        <v>107</v>
      </c>
      <c r="C84" s="523"/>
      <c r="D84" s="451"/>
      <c r="E84" s="450"/>
      <c r="F84" s="452"/>
      <c r="G84" s="452"/>
      <c r="H84" s="452"/>
      <c r="I84" s="452"/>
      <c r="J84" s="452"/>
      <c r="K84" s="450"/>
    </row>
    <row r="85" spans="1:11">
      <c r="A85" s="350"/>
      <c r="B85" s="351" t="s">
        <v>110</v>
      </c>
      <c r="C85" s="521"/>
      <c r="D85" s="352"/>
      <c r="E85" s="351"/>
      <c r="F85" s="353"/>
      <c r="G85" s="353"/>
      <c r="H85" s="353"/>
      <c r="I85" s="353"/>
      <c r="J85" s="353"/>
      <c r="K85" s="351"/>
    </row>
    <row r="86" spans="1:11" ht="43.5">
      <c r="A86" s="350"/>
      <c r="B86" s="355" t="s">
        <v>85</v>
      </c>
      <c r="C86" s="524" t="s">
        <v>359</v>
      </c>
      <c r="D86" s="352">
        <v>5</v>
      </c>
      <c r="E86" s="351" t="s">
        <v>81</v>
      </c>
      <c r="F86" s="353"/>
      <c r="G86" s="353">
        <f>D86*F86</f>
        <v>0</v>
      </c>
      <c r="H86" s="353">
        <v>3500</v>
      </c>
      <c r="I86" s="353">
        <f>D86*H86</f>
        <v>17500</v>
      </c>
      <c r="J86" s="353">
        <f t="shared" ref="J86:J101" si="27">G86+I86</f>
        <v>17500</v>
      </c>
      <c r="K86" s="351"/>
    </row>
    <row r="87" spans="1:11" ht="54" customHeight="1">
      <c r="A87" s="350"/>
      <c r="B87" s="355" t="s">
        <v>85</v>
      </c>
      <c r="C87" s="524" t="s">
        <v>360</v>
      </c>
      <c r="D87" s="352">
        <v>5</v>
      </c>
      <c r="E87" s="351" t="s">
        <v>81</v>
      </c>
      <c r="F87" s="353"/>
      <c r="G87" s="353">
        <f t="shared" ref="G87:G101" si="28">D87*F87</f>
        <v>0</v>
      </c>
      <c r="H87" s="353">
        <v>3500</v>
      </c>
      <c r="I87" s="353">
        <f t="shared" ref="I87:I100" si="29">D87*H87</f>
        <v>17500</v>
      </c>
      <c r="J87" s="353">
        <f t="shared" si="27"/>
        <v>17500</v>
      </c>
      <c r="K87" s="351"/>
    </row>
    <row r="88" spans="1:11" ht="56.25" customHeight="1">
      <c r="A88" s="350"/>
      <c r="B88" s="355"/>
      <c r="C88" s="524" t="s">
        <v>434</v>
      </c>
      <c r="D88" s="352">
        <v>4</v>
      </c>
      <c r="E88" s="351" t="s">
        <v>81</v>
      </c>
      <c r="F88" s="353"/>
      <c r="G88" s="353">
        <f t="shared" si="28"/>
        <v>0</v>
      </c>
      <c r="H88" s="353">
        <v>4500</v>
      </c>
      <c r="I88" s="353">
        <f t="shared" si="29"/>
        <v>18000</v>
      </c>
      <c r="J88" s="353">
        <f t="shared" si="27"/>
        <v>18000</v>
      </c>
      <c r="K88" s="351"/>
    </row>
    <row r="89" spans="1:11">
      <c r="A89" s="350"/>
      <c r="B89" s="355" t="s">
        <v>85</v>
      </c>
      <c r="C89" s="524" t="s">
        <v>361</v>
      </c>
      <c r="D89" s="352">
        <v>7</v>
      </c>
      <c r="E89" s="351" t="s">
        <v>81</v>
      </c>
      <c r="F89" s="353"/>
      <c r="G89" s="353">
        <f t="shared" si="28"/>
        <v>0</v>
      </c>
      <c r="H89" s="353">
        <v>500</v>
      </c>
      <c r="I89" s="353">
        <f t="shared" si="29"/>
        <v>3500</v>
      </c>
      <c r="J89" s="353">
        <f t="shared" si="27"/>
        <v>3500</v>
      </c>
      <c r="K89" s="351"/>
    </row>
    <row r="90" spans="1:11">
      <c r="A90" s="350"/>
      <c r="B90" s="355" t="s">
        <v>85</v>
      </c>
      <c r="C90" s="524" t="s">
        <v>362</v>
      </c>
      <c r="D90" s="352">
        <v>33</v>
      </c>
      <c r="E90" s="351" t="s">
        <v>81</v>
      </c>
      <c r="F90" s="353"/>
      <c r="G90" s="353">
        <f t="shared" si="28"/>
        <v>0</v>
      </c>
      <c r="H90" s="353">
        <v>500</v>
      </c>
      <c r="I90" s="353">
        <f t="shared" si="29"/>
        <v>16500</v>
      </c>
      <c r="J90" s="353">
        <f t="shared" si="27"/>
        <v>16500</v>
      </c>
      <c r="K90" s="351"/>
    </row>
    <row r="91" spans="1:11" ht="43.5">
      <c r="A91" s="350"/>
      <c r="B91" s="355" t="s">
        <v>85</v>
      </c>
      <c r="C91" s="524" t="s">
        <v>533</v>
      </c>
      <c r="D91" s="352">
        <v>78</v>
      </c>
      <c r="E91" s="351" t="s">
        <v>81</v>
      </c>
      <c r="F91" s="353">
        <v>0</v>
      </c>
      <c r="G91" s="353">
        <f t="shared" si="28"/>
        <v>0</v>
      </c>
      <c r="H91" s="353">
        <v>150</v>
      </c>
      <c r="I91" s="353">
        <f t="shared" si="29"/>
        <v>11700</v>
      </c>
      <c r="J91" s="353">
        <f t="shared" si="27"/>
        <v>11700</v>
      </c>
      <c r="K91" s="351"/>
    </row>
    <row r="92" spans="1:11">
      <c r="A92" s="350"/>
      <c r="B92" s="355" t="s">
        <v>85</v>
      </c>
      <c r="C92" s="524" t="s">
        <v>363</v>
      </c>
      <c r="D92" s="352">
        <v>14</v>
      </c>
      <c r="E92" s="351" t="s">
        <v>81</v>
      </c>
      <c r="F92" s="353">
        <v>650</v>
      </c>
      <c r="G92" s="353">
        <f t="shared" si="28"/>
        <v>9100</v>
      </c>
      <c r="H92" s="353">
        <v>250</v>
      </c>
      <c r="I92" s="353">
        <f t="shared" si="29"/>
        <v>3500</v>
      </c>
      <c r="J92" s="353">
        <f t="shared" si="27"/>
        <v>12600</v>
      </c>
      <c r="K92" s="351"/>
    </row>
    <row r="93" spans="1:11">
      <c r="A93" s="350"/>
      <c r="B93" s="355" t="s">
        <v>85</v>
      </c>
      <c r="C93" s="524" t="s">
        <v>364</v>
      </c>
      <c r="D93" s="352">
        <v>1</v>
      </c>
      <c r="E93" s="351" t="s">
        <v>70</v>
      </c>
      <c r="F93" s="353">
        <v>3630</v>
      </c>
      <c r="G93" s="353">
        <f t="shared" si="28"/>
        <v>3630</v>
      </c>
      <c r="H93" s="353">
        <v>0</v>
      </c>
      <c r="I93" s="353">
        <f t="shared" si="29"/>
        <v>0</v>
      </c>
      <c r="J93" s="353">
        <f t="shared" si="27"/>
        <v>3630</v>
      </c>
      <c r="K93" s="351"/>
    </row>
    <row r="94" spans="1:11">
      <c r="A94" s="350"/>
      <c r="B94" s="351" t="s">
        <v>365</v>
      </c>
      <c r="C94" s="521"/>
      <c r="D94" s="352"/>
      <c r="E94" s="351"/>
      <c r="F94" s="353"/>
      <c r="G94" s="353">
        <f t="shared" si="28"/>
        <v>0</v>
      </c>
      <c r="H94" s="353"/>
      <c r="I94" s="353">
        <f t="shared" si="29"/>
        <v>0</v>
      </c>
      <c r="J94" s="353">
        <f t="shared" si="27"/>
        <v>0</v>
      </c>
      <c r="K94" s="351"/>
    </row>
    <row r="95" spans="1:11">
      <c r="A95" s="350"/>
      <c r="B95" s="355" t="s">
        <v>85</v>
      </c>
      <c r="C95" s="524" t="s">
        <v>83</v>
      </c>
      <c r="D95" s="352">
        <v>850</v>
      </c>
      <c r="E95" s="351" t="s">
        <v>82</v>
      </c>
      <c r="F95" s="353">
        <v>22</v>
      </c>
      <c r="G95" s="353">
        <f t="shared" si="28"/>
        <v>18700</v>
      </c>
      <c r="H95" s="353">
        <v>10</v>
      </c>
      <c r="I95" s="353">
        <f t="shared" si="29"/>
        <v>8500</v>
      </c>
      <c r="J95" s="353">
        <f t="shared" si="27"/>
        <v>27200</v>
      </c>
      <c r="K95" s="351"/>
    </row>
    <row r="96" spans="1:11">
      <c r="A96" s="350"/>
      <c r="B96" s="355" t="s">
        <v>85</v>
      </c>
      <c r="C96" s="524" t="s">
        <v>84</v>
      </c>
      <c r="D96" s="352">
        <v>1650</v>
      </c>
      <c r="E96" s="351" t="s">
        <v>82</v>
      </c>
      <c r="F96" s="353">
        <v>14</v>
      </c>
      <c r="G96" s="353">
        <f t="shared" si="28"/>
        <v>23100</v>
      </c>
      <c r="H96" s="353">
        <v>7</v>
      </c>
      <c r="I96" s="353">
        <f t="shared" si="29"/>
        <v>11550</v>
      </c>
      <c r="J96" s="353">
        <f t="shared" si="27"/>
        <v>34650</v>
      </c>
      <c r="K96" s="351"/>
    </row>
    <row r="97" spans="1:11">
      <c r="A97" s="350"/>
      <c r="B97" s="355" t="s">
        <v>85</v>
      </c>
      <c r="C97" s="524" t="s">
        <v>69</v>
      </c>
      <c r="D97" s="352">
        <v>1</v>
      </c>
      <c r="E97" s="351" t="s">
        <v>70</v>
      </c>
      <c r="F97" s="353">
        <v>2465</v>
      </c>
      <c r="G97" s="353">
        <f t="shared" si="28"/>
        <v>2465</v>
      </c>
      <c r="H97" s="353">
        <v>0</v>
      </c>
      <c r="I97" s="353">
        <f t="shared" si="29"/>
        <v>0</v>
      </c>
      <c r="J97" s="353">
        <f t="shared" si="27"/>
        <v>2465</v>
      </c>
      <c r="K97" s="351"/>
    </row>
    <row r="98" spans="1:11">
      <c r="A98" s="350"/>
      <c r="B98" s="351" t="s">
        <v>366</v>
      </c>
      <c r="C98" s="521"/>
      <c r="D98" s="352"/>
      <c r="E98" s="351"/>
      <c r="F98" s="353"/>
      <c r="G98" s="353">
        <f t="shared" si="28"/>
        <v>0</v>
      </c>
      <c r="H98" s="353"/>
      <c r="I98" s="353">
        <f t="shared" si="29"/>
        <v>0</v>
      </c>
      <c r="J98" s="353">
        <f t="shared" si="27"/>
        <v>0</v>
      </c>
      <c r="K98" s="351"/>
    </row>
    <row r="99" spans="1:11">
      <c r="A99" s="350"/>
      <c r="B99" s="355" t="s">
        <v>85</v>
      </c>
      <c r="C99" s="524" t="s">
        <v>339</v>
      </c>
      <c r="D99" s="352">
        <v>200</v>
      </c>
      <c r="E99" s="351" t="s">
        <v>82</v>
      </c>
      <c r="F99" s="353">
        <v>44</v>
      </c>
      <c r="G99" s="353">
        <f t="shared" si="28"/>
        <v>8800</v>
      </c>
      <c r="H99" s="353">
        <v>24</v>
      </c>
      <c r="I99" s="353">
        <f t="shared" si="29"/>
        <v>4800</v>
      </c>
      <c r="J99" s="353">
        <f t="shared" si="27"/>
        <v>13600</v>
      </c>
      <c r="K99" s="351"/>
    </row>
    <row r="100" spans="1:11">
      <c r="A100" s="350"/>
      <c r="B100" s="355" t="s">
        <v>85</v>
      </c>
      <c r="C100" s="524" t="s">
        <v>340</v>
      </c>
      <c r="D100" s="352">
        <v>925</v>
      </c>
      <c r="E100" s="351" t="s">
        <v>82</v>
      </c>
      <c r="F100" s="353">
        <v>28</v>
      </c>
      <c r="G100" s="353">
        <f t="shared" si="28"/>
        <v>25900</v>
      </c>
      <c r="H100" s="353">
        <v>18</v>
      </c>
      <c r="I100" s="353">
        <f t="shared" si="29"/>
        <v>16650</v>
      </c>
      <c r="J100" s="353">
        <f t="shared" si="27"/>
        <v>42550</v>
      </c>
      <c r="K100" s="351"/>
    </row>
    <row r="101" spans="1:11">
      <c r="A101" s="350"/>
      <c r="B101" s="355" t="s">
        <v>85</v>
      </c>
      <c r="C101" s="524" t="s">
        <v>69</v>
      </c>
      <c r="D101" s="352">
        <v>1</v>
      </c>
      <c r="E101" s="351" t="s">
        <v>70</v>
      </c>
      <c r="F101" s="353">
        <v>2807.5</v>
      </c>
      <c r="G101" s="353">
        <f t="shared" si="28"/>
        <v>2807.5</v>
      </c>
      <c r="H101" s="353">
        <v>0</v>
      </c>
      <c r="I101" s="353">
        <v>0</v>
      </c>
      <c r="J101" s="353">
        <f t="shared" si="27"/>
        <v>2807.5</v>
      </c>
      <c r="K101" s="351"/>
    </row>
    <row r="102" spans="1:11" s="373" customFormat="1">
      <c r="A102" s="369"/>
      <c r="B102" s="370" t="s">
        <v>367</v>
      </c>
      <c r="C102" s="525"/>
      <c r="D102" s="371"/>
      <c r="E102" s="370"/>
      <c r="F102" s="372"/>
      <c r="G102" s="372">
        <f>SUM(G86:G101)</f>
        <v>94502.5</v>
      </c>
      <c r="H102" s="372"/>
      <c r="I102" s="372">
        <f>SUM(I86:I101)</f>
        <v>129700</v>
      </c>
      <c r="J102" s="403">
        <f>SUM(J86:J101)</f>
        <v>224202.5</v>
      </c>
      <c r="K102" s="370"/>
    </row>
    <row r="103" spans="1:11" s="453" customFormat="1">
      <c r="A103" s="449" t="s">
        <v>108</v>
      </c>
      <c r="B103" s="450" t="s">
        <v>368</v>
      </c>
      <c r="C103" s="523"/>
      <c r="D103" s="451"/>
      <c r="E103" s="450"/>
      <c r="F103" s="452"/>
      <c r="G103" s="452"/>
      <c r="H103" s="452"/>
      <c r="I103" s="452"/>
      <c r="J103" s="452"/>
      <c r="K103" s="450"/>
    </row>
    <row r="104" spans="1:11" ht="43.5">
      <c r="A104" s="350"/>
      <c r="B104" s="355" t="s">
        <v>85</v>
      </c>
      <c r="C104" s="524" t="s">
        <v>369</v>
      </c>
      <c r="D104" s="352">
        <v>1</v>
      </c>
      <c r="E104" s="351" t="s">
        <v>70</v>
      </c>
      <c r="F104" s="353">
        <v>50000</v>
      </c>
      <c r="G104" s="353">
        <f>D104*F104</f>
        <v>50000</v>
      </c>
      <c r="H104" s="353">
        <v>10000</v>
      </c>
      <c r="I104" s="353">
        <f>D104*H104</f>
        <v>10000</v>
      </c>
      <c r="J104" s="353">
        <f>G104+I104</f>
        <v>60000</v>
      </c>
      <c r="K104" s="351"/>
    </row>
    <row r="105" spans="1:11" s="373" customFormat="1">
      <c r="A105" s="369"/>
      <c r="B105" s="370" t="s">
        <v>370</v>
      </c>
      <c r="C105" s="525"/>
      <c r="D105" s="371"/>
      <c r="E105" s="370"/>
      <c r="F105" s="372"/>
      <c r="G105" s="372">
        <f>SUM(G104:G104)</f>
        <v>50000</v>
      </c>
      <c r="H105" s="372"/>
      <c r="I105" s="372">
        <f>SUM(I104:I104)</f>
        <v>10000</v>
      </c>
      <c r="J105" s="403">
        <f>SUM(J104:J104)</f>
        <v>60000</v>
      </c>
      <c r="K105" s="370"/>
    </row>
    <row r="106" spans="1:11" s="453" customFormat="1">
      <c r="A106" s="449" t="s">
        <v>122</v>
      </c>
      <c r="B106" s="450" t="s">
        <v>371</v>
      </c>
      <c r="C106" s="523"/>
      <c r="D106" s="451"/>
      <c r="E106" s="450"/>
      <c r="F106" s="452"/>
      <c r="G106" s="452"/>
      <c r="H106" s="452"/>
      <c r="I106" s="452"/>
      <c r="J106" s="452"/>
      <c r="K106" s="450"/>
    </row>
    <row r="107" spans="1:11">
      <c r="A107" s="350"/>
      <c r="B107" s="351" t="s">
        <v>110</v>
      </c>
      <c r="C107" s="521"/>
      <c r="D107" s="352"/>
      <c r="E107" s="351"/>
      <c r="F107" s="353"/>
      <c r="G107" s="353"/>
      <c r="H107" s="353"/>
      <c r="I107" s="353"/>
      <c r="J107" s="353"/>
      <c r="K107" s="351"/>
    </row>
    <row r="108" spans="1:11">
      <c r="A108" s="350"/>
      <c r="B108" s="355" t="s">
        <v>85</v>
      </c>
      <c r="C108" s="524" t="s">
        <v>372</v>
      </c>
      <c r="D108" s="352">
        <v>1</v>
      </c>
      <c r="E108" s="351" t="s">
        <v>81</v>
      </c>
      <c r="F108" s="353">
        <v>0</v>
      </c>
      <c r="G108" s="353">
        <f>D108*F108</f>
        <v>0</v>
      </c>
      <c r="H108" s="353">
        <v>1000</v>
      </c>
      <c r="I108" s="353">
        <f>D108*H108</f>
        <v>1000</v>
      </c>
      <c r="J108" s="353">
        <f>G108+I108</f>
        <v>1000</v>
      </c>
      <c r="K108" s="351"/>
    </row>
    <row r="109" spans="1:11">
      <c r="A109" s="350"/>
      <c r="B109" s="355" t="s">
        <v>85</v>
      </c>
      <c r="C109" s="524" t="s">
        <v>373</v>
      </c>
      <c r="D109" s="352">
        <v>1</v>
      </c>
      <c r="E109" s="351" t="s">
        <v>81</v>
      </c>
      <c r="F109" s="353">
        <v>0</v>
      </c>
      <c r="G109" s="353">
        <f t="shared" ref="G109:G121" si="30">D109*F109</f>
        <v>0</v>
      </c>
      <c r="H109" s="353">
        <v>500</v>
      </c>
      <c r="I109" s="353">
        <f t="shared" ref="I109:I121" si="31">D109*H109</f>
        <v>500</v>
      </c>
      <c r="J109" s="353">
        <f t="shared" ref="J109:J121" si="32">G109+I109</f>
        <v>500</v>
      </c>
      <c r="K109" s="351"/>
    </row>
    <row r="110" spans="1:11">
      <c r="A110" s="350"/>
      <c r="B110" s="355" t="s">
        <v>85</v>
      </c>
      <c r="C110" s="524" t="s">
        <v>374</v>
      </c>
      <c r="D110" s="352">
        <v>9</v>
      </c>
      <c r="E110" s="351" t="s">
        <v>81</v>
      </c>
      <c r="F110" s="353">
        <v>850</v>
      </c>
      <c r="G110" s="353">
        <f t="shared" si="30"/>
        <v>7650</v>
      </c>
      <c r="H110" s="353">
        <v>90</v>
      </c>
      <c r="I110" s="353">
        <f t="shared" si="31"/>
        <v>810</v>
      </c>
      <c r="J110" s="353">
        <f t="shared" si="32"/>
        <v>8460</v>
      </c>
      <c r="K110" s="351"/>
    </row>
    <row r="111" spans="1:11">
      <c r="A111" s="350"/>
      <c r="B111" s="355" t="s">
        <v>85</v>
      </c>
      <c r="C111" s="524" t="s">
        <v>375</v>
      </c>
      <c r="D111" s="352">
        <v>59</v>
      </c>
      <c r="E111" s="351" t="s">
        <v>81</v>
      </c>
      <c r="F111" s="353">
        <v>1050</v>
      </c>
      <c r="G111" s="353">
        <f t="shared" si="30"/>
        <v>61950</v>
      </c>
      <c r="H111" s="353">
        <v>90</v>
      </c>
      <c r="I111" s="353">
        <f t="shared" si="31"/>
        <v>5310</v>
      </c>
      <c r="J111" s="353">
        <f t="shared" si="32"/>
        <v>67260</v>
      </c>
      <c r="K111" s="351"/>
    </row>
    <row r="112" spans="1:11">
      <c r="A112" s="350"/>
      <c r="B112" s="355" t="s">
        <v>85</v>
      </c>
      <c r="C112" s="524" t="s">
        <v>376</v>
      </c>
      <c r="D112" s="352">
        <v>12</v>
      </c>
      <c r="E112" s="351" t="s">
        <v>81</v>
      </c>
      <c r="F112" s="353">
        <v>650</v>
      </c>
      <c r="G112" s="353">
        <f t="shared" si="30"/>
        <v>7800</v>
      </c>
      <c r="H112" s="353">
        <v>90</v>
      </c>
      <c r="I112" s="353">
        <f t="shared" si="31"/>
        <v>1080</v>
      </c>
      <c r="J112" s="353">
        <f t="shared" si="32"/>
        <v>8880</v>
      </c>
      <c r="K112" s="351"/>
    </row>
    <row r="113" spans="1:11">
      <c r="A113" s="350"/>
      <c r="B113" s="355" t="s">
        <v>85</v>
      </c>
      <c r="C113" s="524" t="s">
        <v>377</v>
      </c>
      <c r="D113" s="352">
        <v>12</v>
      </c>
      <c r="E113" s="351" t="s">
        <v>81</v>
      </c>
      <c r="F113" s="353">
        <v>1250</v>
      </c>
      <c r="G113" s="353">
        <f t="shared" si="30"/>
        <v>15000</v>
      </c>
      <c r="H113" s="353">
        <v>90</v>
      </c>
      <c r="I113" s="353">
        <f t="shared" si="31"/>
        <v>1080</v>
      </c>
      <c r="J113" s="353">
        <f t="shared" si="32"/>
        <v>16080</v>
      </c>
      <c r="K113" s="351"/>
    </row>
    <row r="114" spans="1:11">
      <c r="A114" s="350"/>
      <c r="B114" s="355" t="s">
        <v>85</v>
      </c>
      <c r="C114" s="524" t="s">
        <v>364</v>
      </c>
      <c r="D114" s="352">
        <v>1</v>
      </c>
      <c r="E114" s="351" t="s">
        <v>70</v>
      </c>
      <c r="F114" s="353">
        <v>10218</v>
      </c>
      <c r="G114" s="353">
        <f t="shared" si="30"/>
        <v>10218</v>
      </c>
      <c r="H114" s="353">
        <v>0</v>
      </c>
      <c r="I114" s="353">
        <f t="shared" si="31"/>
        <v>0</v>
      </c>
      <c r="J114" s="353">
        <f t="shared" si="32"/>
        <v>10218</v>
      </c>
      <c r="K114" s="351"/>
    </row>
    <row r="115" spans="1:11">
      <c r="A115" s="350"/>
      <c r="B115" s="355" t="s">
        <v>365</v>
      </c>
      <c r="C115" s="524"/>
      <c r="D115" s="352"/>
      <c r="E115" s="351"/>
      <c r="F115" s="353"/>
      <c r="G115" s="353">
        <f t="shared" si="30"/>
        <v>0</v>
      </c>
      <c r="H115" s="353"/>
      <c r="I115" s="353">
        <f t="shared" si="31"/>
        <v>0</v>
      </c>
      <c r="J115" s="353">
        <f t="shared" si="32"/>
        <v>0</v>
      </c>
      <c r="K115" s="351"/>
    </row>
    <row r="116" spans="1:11">
      <c r="A116" s="350"/>
      <c r="B116" s="355" t="s">
        <v>85</v>
      </c>
      <c r="C116" s="524" t="s">
        <v>378</v>
      </c>
      <c r="D116" s="352">
        <v>2785</v>
      </c>
      <c r="E116" s="351" t="s">
        <v>82</v>
      </c>
      <c r="F116" s="353">
        <v>9</v>
      </c>
      <c r="G116" s="353">
        <f t="shared" si="30"/>
        <v>25065</v>
      </c>
      <c r="H116" s="353">
        <v>5</v>
      </c>
      <c r="I116" s="353">
        <f t="shared" si="31"/>
        <v>13925</v>
      </c>
      <c r="J116" s="353">
        <f t="shared" si="32"/>
        <v>38990</v>
      </c>
      <c r="K116" s="351"/>
    </row>
    <row r="117" spans="1:11">
      <c r="A117" s="350"/>
      <c r="B117" s="355" t="s">
        <v>85</v>
      </c>
      <c r="C117" s="524" t="s">
        <v>379</v>
      </c>
      <c r="D117" s="352">
        <v>20</v>
      </c>
      <c r="E117" s="351" t="s">
        <v>82</v>
      </c>
      <c r="F117" s="353">
        <v>17</v>
      </c>
      <c r="G117" s="353">
        <f t="shared" si="30"/>
        <v>340</v>
      </c>
      <c r="H117" s="353">
        <v>14</v>
      </c>
      <c r="I117" s="353">
        <f t="shared" si="31"/>
        <v>280</v>
      </c>
      <c r="J117" s="353">
        <f t="shared" si="32"/>
        <v>620</v>
      </c>
      <c r="K117" s="351"/>
    </row>
    <row r="118" spans="1:11">
      <c r="A118" s="350"/>
      <c r="B118" s="355" t="s">
        <v>85</v>
      </c>
      <c r="C118" s="524" t="s">
        <v>69</v>
      </c>
      <c r="D118" s="352">
        <v>1</v>
      </c>
      <c r="E118" s="351" t="s">
        <v>70</v>
      </c>
      <c r="F118" s="353">
        <v>3063.5</v>
      </c>
      <c r="G118" s="353">
        <f t="shared" si="30"/>
        <v>3063.5</v>
      </c>
      <c r="H118" s="353">
        <v>0</v>
      </c>
      <c r="I118" s="353">
        <f t="shared" si="31"/>
        <v>0</v>
      </c>
      <c r="J118" s="353">
        <f t="shared" si="32"/>
        <v>3063.5</v>
      </c>
      <c r="K118" s="351"/>
    </row>
    <row r="119" spans="1:11">
      <c r="A119" s="350"/>
      <c r="B119" s="351" t="s">
        <v>366</v>
      </c>
      <c r="C119" s="521"/>
      <c r="D119" s="352"/>
      <c r="E119" s="351"/>
      <c r="F119" s="353"/>
      <c r="G119" s="353">
        <f t="shared" si="30"/>
        <v>0</v>
      </c>
      <c r="H119" s="353"/>
      <c r="I119" s="353">
        <f t="shared" si="31"/>
        <v>0</v>
      </c>
      <c r="J119" s="353">
        <f t="shared" si="32"/>
        <v>0</v>
      </c>
      <c r="K119" s="351"/>
    </row>
    <row r="120" spans="1:11">
      <c r="A120" s="350"/>
      <c r="B120" s="355" t="s">
        <v>85</v>
      </c>
      <c r="C120" s="524" t="s">
        <v>340</v>
      </c>
      <c r="D120" s="352">
        <v>1489</v>
      </c>
      <c r="E120" s="351" t="s">
        <v>82</v>
      </c>
      <c r="F120" s="353">
        <v>28</v>
      </c>
      <c r="G120" s="353">
        <f t="shared" si="30"/>
        <v>41692</v>
      </c>
      <c r="H120" s="353">
        <v>18</v>
      </c>
      <c r="I120" s="353">
        <f t="shared" si="31"/>
        <v>26802</v>
      </c>
      <c r="J120" s="353">
        <f t="shared" si="32"/>
        <v>68494</v>
      </c>
      <c r="K120" s="351"/>
    </row>
    <row r="121" spans="1:11">
      <c r="A121" s="350"/>
      <c r="B121" s="355" t="s">
        <v>85</v>
      </c>
      <c r="C121" s="524" t="s">
        <v>69</v>
      </c>
      <c r="D121" s="352">
        <v>1</v>
      </c>
      <c r="E121" s="351" t="s">
        <v>70</v>
      </c>
      <c r="F121" s="353">
        <v>6849.4000000000005</v>
      </c>
      <c r="G121" s="353">
        <f t="shared" si="30"/>
        <v>6849.4000000000005</v>
      </c>
      <c r="H121" s="353">
        <v>0</v>
      </c>
      <c r="I121" s="353">
        <f t="shared" si="31"/>
        <v>0</v>
      </c>
      <c r="J121" s="353">
        <f t="shared" si="32"/>
        <v>6849.4000000000005</v>
      </c>
      <c r="K121" s="351"/>
    </row>
    <row r="122" spans="1:11" s="373" customFormat="1">
      <c r="A122" s="369"/>
      <c r="B122" s="370" t="s">
        <v>380</v>
      </c>
      <c r="C122" s="525"/>
      <c r="D122" s="371"/>
      <c r="E122" s="370"/>
      <c r="F122" s="372"/>
      <c r="G122" s="372">
        <f>SUM(G108:G121)</f>
        <v>179627.9</v>
      </c>
      <c r="H122" s="372"/>
      <c r="I122" s="372">
        <f>SUM(I108:I121)</f>
        <v>50787</v>
      </c>
      <c r="J122" s="403">
        <f>SUM(J108:J121)</f>
        <v>230414.9</v>
      </c>
      <c r="K122" s="370"/>
    </row>
    <row r="123" spans="1:11" s="453" customFormat="1">
      <c r="A123" s="449" t="s">
        <v>179</v>
      </c>
      <c r="B123" s="450" t="s">
        <v>381</v>
      </c>
      <c r="C123" s="523"/>
      <c r="D123" s="451"/>
      <c r="E123" s="450"/>
      <c r="F123" s="452"/>
      <c r="G123" s="452"/>
      <c r="H123" s="452"/>
      <c r="I123" s="452"/>
      <c r="J123" s="452"/>
      <c r="K123" s="450"/>
    </row>
    <row r="124" spans="1:11">
      <c r="A124" s="350"/>
      <c r="B124" s="351" t="s">
        <v>110</v>
      </c>
      <c r="C124" s="521"/>
      <c r="D124" s="352"/>
      <c r="E124" s="351"/>
      <c r="F124" s="353"/>
      <c r="G124" s="353"/>
      <c r="H124" s="353"/>
      <c r="I124" s="353"/>
      <c r="J124" s="353"/>
      <c r="K124" s="351"/>
    </row>
    <row r="125" spans="1:11">
      <c r="A125" s="350"/>
      <c r="B125" s="355" t="s">
        <v>85</v>
      </c>
      <c r="C125" s="524" t="s">
        <v>382</v>
      </c>
      <c r="D125" s="352">
        <v>1</v>
      </c>
      <c r="E125" s="351" t="s">
        <v>81</v>
      </c>
      <c r="F125" s="353">
        <v>12500</v>
      </c>
      <c r="G125" s="353">
        <f>D125*F125</f>
        <v>12500</v>
      </c>
      <c r="H125" s="353">
        <v>500</v>
      </c>
      <c r="I125" s="353">
        <f>D125*H125</f>
        <v>500</v>
      </c>
      <c r="J125" s="353">
        <f>G125+I125</f>
        <v>13000</v>
      </c>
      <c r="K125" s="351"/>
    </row>
    <row r="126" spans="1:11">
      <c r="A126" s="350"/>
      <c r="B126" s="355" t="s">
        <v>85</v>
      </c>
      <c r="C126" s="524" t="s">
        <v>383</v>
      </c>
      <c r="D126" s="352">
        <v>1</v>
      </c>
      <c r="E126" s="351" t="s">
        <v>81</v>
      </c>
      <c r="F126" s="353">
        <v>0</v>
      </c>
      <c r="G126" s="353">
        <f t="shared" ref="G126:G140" si="33">D126*F126</f>
        <v>0</v>
      </c>
      <c r="H126" s="353">
        <v>500</v>
      </c>
      <c r="I126" s="353">
        <f t="shared" ref="I126:I140" si="34">D126*H126</f>
        <v>500</v>
      </c>
      <c r="J126" s="353">
        <f t="shared" ref="J126:J140" si="35">G126+I126</f>
        <v>500</v>
      </c>
      <c r="K126" s="351"/>
    </row>
    <row r="127" spans="1:11">
      <c r="A127" s="350"/>
      <c r="B127" s="355" t="s">
        <v>85</v>
      </c>
      <c r="C127" s="524" t="s">
        <v>384</v>
      </c>
      <c r="D127" s="352">
        <v>1</v>
      </c>
      <c r="E127" s="351" t="s">
        <v>81</v>
      </c>
      <c r="F127" s="353">
        <v>0</v>
      </c>
      <c r="G127" s="353">
        <f t="shared" si="33"/>
        <v>0</v>
      </c>
      <c r="H127" s="353">
        <v>500</v>
      </c>
      <c r="I127" s="353">
        <f t="shared" si="34"/>
        <v>500</v>
      </c>
      <c r="J127" s="353">
        <f t="shared" si="35"/>
        <v>500</v>
      </c>
      <c r="K127" s="351"/>
    </row>
    <row r="128" spans="1:11">
      <c r="A128" s="350"/>
      <c r="B128" s="355" t="s">
        <v>85</v>
      </c>
      <c r="C128" s="524" t="s">
        <v>385</v>
      </c>
      <c r="D128" s="352">
        <v>1</v>
      </c>
      <c r="E128" s="351" t="s">
        <v>81</v>
      </c>
      <c r="F128" s="353">
        <v>0</v>
      </c>
      <c r="G128" s="353">
        <f t="shared" si="33"/>
        <v>0</v>
      </c>
      <c r="H128" s="353">
        <v>500</v>
      </c>
      <c r="I128" s="353">
        <f t="shared" si="34"/>
        <v>500</v>
      </c>
      <c r="J128" s="353">
        <f t="shared" si="35"/>
        <v>500</v>
      </c>
      <c r="K128" s="351"/>
    </row>
    <row r="129" spans="1:11">
      <c r="A129" s="350"/>
      <c r="B129" s="355" t="s">
        <v>85</v>
      </c>
      <c r="C129" s="524" t="s">
        <v>386</v>
      </c>
      <c r="D129" s="352">
        <v>1</v>
      </c>
      <c r="E129" s="351" t="s">
        <v>81</v>
      </c>
      <c r="F129" s="353">
        <v>0</v>
      </c>
      <c r="G129" s="353">
        <f t="shared" si="33"/>
        <v>0</v>
      </c>
      <c r="H129" s="353">
        <v>500</v>
      </c>
      <c r="I129" s="353">
        <f t="shared" si="34"/>
        <v>500</v>
      </c>
      <c r="J129" s="353">
        <f t="shared" si="35"/>
        <v>500</v>
      </c>
      <c r="K129" s="351"/>
    </row>
    <row r="130" spans="1:11">
      <c r="A130" s="350"/>
      <c r="B130" s="355" t="s">
        <v>85</v>
      </c>
      <c r="C130" s="524" t="s">
        <v>387</v>
      </c>
      <c r="D130" s="352">
        <v>1</v>
      </c>
      <c r="E130" s="351" t="s">
        <v>81</v>
      </c>
      <c r="F130" s="353">
        <v>0</v>
      </c>
      <c r="G130" s="353">
        <f t="shared" si="33"/>
        <v>0</v>
      </c>
      <c r="H130" s="353">
        <v>500</v>
      </c>
      <c r="I130" s="353">
        <f t="shared" si="34"/>
        <v>500</v>
      </c>
      <c r="J130" s="353">
        <f t="shared" si="35"/>
        <v>500</v>
      </c>
      <c r="K130" s="351"/>
    </row>
    <row r="131" spans="1:11">
      <c r="A131" s="350"/>
      <c r="B131" s="355" t="s">
        <v>85</v>
      </c>
      <c r="C131" s="524" t="s">
        <v>388</v>
      </c>
      <c r="D131" s="352">
        <v>1</v>
      </c>
      <c r="E131" s="351" t="s">
        <v>81</v>
      </c>
      <c r="F131" s="353">
        <v>0</v>
      </c>
      <c r="G131" s="353">
        <f t="shared" si="33"/>
        <v>0</v>
      </c>
      <c r="H131" s="353">
        <v>250</v>
      </c>
      <c r="I131" s="353">
        <f t="shared" si="34"/>
        <v>250</v>
      </c>
      <c r="J131" s="353">
        <f t="shared" si="35"/>
        <v>250</v>
      </c>
      <c r="K131" s="351"/>
    </row>
    <row r="132" spans="1:11">
      <c r="A132" s="350"/>
      <c r="B132" s="355" t="s">
        <v>85</v>
      </c>
      <c r="C132" s="524" t="s">
        <v>389</v>
      </c>
      <c r="D132" s="352">
        <v>1</v>
      </c>
      <c r="E132" s="351" t="s">
        <v>81</v>
      </c>
      <c r="F132" s="353">
        <v>9500</v>
      </c>
      <c r="G132" s="353">
        <f t="shared" si="33"/>
        <v>9500</v>
      </c>
      <c r="H132" s="353">
        <v>250</v>
      </c>
      <c r="I132" s="353">
        <f t="shared" si="34"/>
        <v>250</v>
      </c>
      <c r="J132" s="353">
        <f t="shared" si="35"/>
        <v>9750</v>
      </c>
      <c r="K132" s="351"/>
    </row>
    <row r="133" spans="1:11">
      <c r="A133" s="350"/>
      <c r="B133" s="355" t="s">
        <v>85</v>
      </c>
      <c r="C133" s="524" t="s">
        <v>390</v>
      </c>
      <c r="D133" s="352">
        <v>12</v>
      </c>
      <c r="E133" s="351" t="s">
        <v>81</v>
      </c>
      <c r="F133" s="353">
        <v>1850</v>
      </c>
      <c r="G133" s="353">
        <f t="shared" si="33"/>
        <v>22200</v>
      </c>
      <c r="H133" s="353">
        <v>250</v>
      </c>
      <c r="I133" s="353">
        <f t="shared" si="34"/>
        <v>3000</v>
      </c>
      <c r="J133" s="353">
        <f t="shared" si="35"/>
        <v>25200</v>
      </c>
      <c r="K133" s="351"/>
    </row>
    <row r="134" spans="1:11">
      <c r="A134" s="350"/>
      <c r="B134" s="355" t="s">
        <v>85</v>
      </c>
      <c r="C134" s="524" t="s">
        <v>364</v>
      </c>
      <c r="D134" s="352">
        <v>1</v>
      </c>
      <c r="E134" s="351" t="s">
        <v>70</v>
      </c>
      <c r="F134" s="353">
        <v>5070</v>
      </c>
      <c r="G134" s="353">
        <f t="shared" si="33"/>
        <v>5070</v>
      </c>
      <c r="H134" s="353">
        <v>0</v>
      </c>
      <c r="I134" s="353">
        <f t="shared" si="34"/>
        <v>0</v>
      </c>
      <c r="J134" s="353">
        <f t="shared" si="35"/>
        <v>5070</v>
      </c>
      <c r="K134" s="351"/>
    </row>
    <row r="135" spans="1:11">
      <c r="A135" s="350"/>
      <c r="B135" s="355" t="s">
        <v>365</v>
      </c>
      <c r="C135" s="524"/>
      <c r="D135" s="352"/>
      <c r="E135" s="351"/>
      <c r="F135" s="353"/>
      <c r="G135" s="353">
        <f t="shared" si="33"/>
        <v>0</v>
      </c>
      <c r="H135" s="353"/>
      <c r="I135" s="353">
        <f t="shared" si="34"/>
        <v>0</v>
      </c>
      <c r="J135" s="353">
        <f t="shared" si="35"/>
        <v>0</v>
      </c>
      <c r="K135" s="351"/>
    </row>
    <row r="136" spans="1:11" s="625" customFormat="1" ht="43.5">
      <c r="A136" s="620"/>
      <c r="B136" s="621" t="s">
        <v>85</v>
      </c>
      <c r="C136" s="524" t="s">
        <v>536</v>
      </c>
      <c r="D136" s="622">
        <v>1600</v>
      </c>
      <c r="E136" s="623" t="s">
        <v>82</v>
      </c>
      <c r="F136" s="624">
        <v>63</v>
      </c>
      <c r="G136" s="624">
        <f t="shared" si="33"/>
        <v>100800</v>
      </c>
      <c r="H136" s="624">
        <v>5</v>
      </c>
      <c r="I136" s="624">
        <f t="shared" si="34"/>
        <v>8000</v>
      </c>
      <c r="J136" s="624">
        <f t="shared" si="35"/>
        <v>108800</v>
      </c>
      <c r="K136" s="623"/>
    </row>
    <row r="137" spans="1:11">
      <c r="A137" s="350"/>
      <c r="B137" s="355" t="s">
        <v>85</v>
      </c>
      <c r="C137" s="524" t="s">
        <v>69</v>
      </c>
      <c r="D137" s="352">
        <v>1</v>
      </c>
      <c r="E137" s="351" t="s">
        <v>70</v>
      </c>
      <c r="F137" s="353">
        <v>1280</v>
      </c>
      <c r="G137" s="353">
        <f t="shared" si="33"/>
        <v>1280</v>
      </c>
      <c r="H137" s="353">
        <v>0</v>
      </c>
      <c r="I137" s="353">
        <f t="shared" si="34"/>
        <v>0</v>
      </c>
      <c r="J137" s="353">
        <f t="shared" si="35"/>
        <v>1280</v>
      </c>
      <c r="K137" s="351"/>
    </row>
    <row r="138" spans="1:11">
      <c r="A138" s="350"/>
      <c r="B138" s="351" t="s">
        <v>366</v>
      </c>
      <c r="C138" s="521"/>
      <c r="D138" s="352"/>
      <c r="E138" s="351"/>
      <c r="F138" s="353"/>
      <c r="G138" s="353">
        <f t="shared" si="33"/>
        <v>0</v>
      </c>
      <c r="H138" s="353"/>
      <c r="I138" s="353">
        <f t="shared" si="34"/>
        <v>0</v>
      </c>
      <c r="J138" s="353">
        <f t="shared" si="35"/>
        <v>0</v>
      </c>
      <c r="K138" s="351"/>
    </row>
    <row r="139" spans="1:11">
      <c r="A139" s="350"/>
      <c r="B139" s="355" t="s">
        <v>85</v>
      </c>
      <c r="C139" s="524" t="s">
        <v>340</v>
      </c>
      <c r="D139" s="352">
        <v>645</v>
      </c>
      <c r="E139" s="351" t="s">
        <v>82</v>
      </c>
      <c r="F139" s="353">
        <v>28</v>
      </c>
      <c r="G139" s="353">
        <f t="shared" si="33"/>
        <v>18060</v>
      </c>
      <c r="H139" s="353">
        <v>18</v>
      </c>
      <c r="I139" s="353">
        <f t="shared" si="34"/>
        <v>11610</v>
      </c>
      <c r="J139" s="353">
        <f t="shared" si="35"/>
        <v>29670</v>
      </c>
      <c r="K139" s="351"/>
    </row>
    <row r="140" spans="1:11">
      <c r="A140" s="350"/>
      <c r="B140" s="355" t="s">
        <v>85</v>
      </c>
      <c r="C140" s="524" t="s">
        <v>69</v>
      </c>
      <c r="D140" s="352">
        <v>1</v>
      </c>
      <c r="E140" s="351" t="s">
        <v>70</v>
      </c>
      <c r="F140" s="353">
        <v>2967</v>
      </c>
      <c r="G140" s="353">
        <f t="shared" si="33"/>
        <v>2967</v>
      </c>
      <c r="H140" s="353">
        <v>0</v>
      </c>
      <c r="I140" s="353">
        <f t="shared" si="34"/>
        <v>0</v>
      </c>
      <c r="J140" s="353">
        <f t="shared" si="35"/>
        <v>2967</v>
      </c>
      <c r="K140" s="351"/>
    </row>
    <row r="141" spans="1:11" s="373" customFormat="1">
      <c r="A141" s="369"/>
      <c r="B141" s="370" t="s">
        <v>391</v>
      </c>
      <c r="C141" s="525"/>
      <c r="D141" s="371"/>
      <c r="E141" s="370"/>
      <c r="F141" s="372"/>
      <c r="G141" s="372">
        <f>SUM(G125:G140)</f>
        <v>172377</v>
      </c>
      <c r="H141" s="372"/>
      <c r="I141" s="372">
        <f>SUM(I125:I140)</f>
        <v>26110</v>
      </c>
      <c r="J141" s="403">
        <f>SUM(J125:J140)</f>
        <v>198487</v>
      </c>
      <c r="K141" s="370"/>
    </row>
    <row r="142" spans="1:11" s="453" customFormat="1">
      <c r="A142" s="449" t="s">
        <v>180</v>
      </c>
      <c r="B142" s="450" t="s">
        <v>109</v>
      </c>
      <c r="C142" s="523"/>
      <c r="D142" s="451"/>
      <c r="E142" s="450"/>
      <c r="F142" s="452"/>
      <c r="G142" s="452"/>
      <c r="H142" s="452"/>
      <c r="I142" s="452"/>
      <c r="J142" s="452"/>
      <c r="K142" s="450"/>
    </row>
    <row r="143" spans="1:11">
      <c r="A143" s="350"/>
      <c r="B143" s="351" t="s">
        <v>110</v>
      </c>
      <c r="C143" s="521"/>
      <c r="D143" s="352"/>
      <c r="E143" s="351"/>
      <c r="F143" s="353"/>
      <c r="G143" s="353"/>
      <c r="H143" s="353"/>
      <c r="I143" s="353"/>
      <c r="J143" s="353"/>
      <c r="K143" s="351"/>
    </row>
    <row r="144" spans="1:11">
      <c r="A144" s="350"/>
      <c r="B144" s="355" t="s">
        <v>85</v>
      </c>
      <c r="C144" s="524" t="s">
        <v>111</v>
      </c>
      <c r="D144" s="352">
        <v>1</v>
      </c>
      <c r="E144" s="351" t="s">
        <v>81</v>
      </c>
      <c r="F144" s="353">
        <v>0</v>
      </c>
      <c r="G144" s="353">
        <v>0</v>
      </c>
      <c r="H144" s="353">
        <v>500</v>
      </c>
      <c r="I144" s="353">
        <v>500</v>
      </c>
      <c r="J144" s="353">
        <v>500</v>
      </c>
      <c r="K144" s="351"/>
    </row>
    <row r="145" spans="1:11">
      <c r="A145" s="350"/>
      <c r="B145" s="355" t="s">
        <v>85</v>
      </c>
      <c r="C145" s="524" t="s">
        <v>392</v>
      </c>
      <c r="D145" s="352">
        <v>1</v>
      </c>
      <c r="E145" s="351" t="s">
        <v>81</v>
      </c>
      <c r="F145" s="353">
        <v>0</v>
      </c>
      <c r="G145" s="353">
        <v>0</v>
      </c>
      <c r="H145" s="353">
        <v>250</v>
      </c>
      <c r="I145" s="353">
        <v>250</v>
      </c>
      <c r="J145" s="353">
        <v>250</v>
      </c>
      <c r="K145" s="351"/>
    </row>
    <row r="146" spans="1:11">
      <c r="A146" s="350"/>
      <c r="B146" s="355" t="s">
        <v>85</v>
      </c>
      <c r="C146" s="524" t="s">
        <v>503</v>
      </c>
      <c r="D146" s="352">
        <v>8</v>
      </c>
      <c r="E146" s="351" t="s">
        <v>81</v>
      </c>
      <c r="F146" s="353">
        <v>0</v>
      </c>
      <c r="G146" s="353">
        <v>0</v>
      </c>
      <c r="H146" s="353">
        <v>250</v>
      </c>
      <c r="I146" s="353">
        <f>D146*H146</f>
        <v>2000</v>
      </c>
      <c r="J146" s="353">
        <v>750</v>
      </c>
      <c r="K146" s="351"/>
    </row>
    <row r="147" spans="1:11">
      <c r="A147" s="350"/>
      <c r="B147" s="355" t="s">
        <v>85</v>
      </c>
      <c r="C147" s="524" t="s">
        <v>112</v>
      </c>
      <c r="D147" s="352">
        <v>1</v>
      </c>
      <c r="E147" s="351" t="s">
        <v>81</v>
      </c>
      <c r="F147" s="353">
        <v>0</v>
      </c>
      <c r="G147" s="353">
        <v>0</v>
      </c>
      <c r="H147" s="353">
        <v>500</v>
      </c>
      <c r="I147" s="353">
        <v>500</v>
      </c>
      <c r="J147" s="353">
        <v>500</v>
      </c>
      <c r="K147" s="351"/>
    </row>
    <row r="148" spans="1:11">
      <c r="A148" s="350"/>
      <c r="B148" s="355" t="s">
        <v>85</v>
      </c>
      <c r="C148" s="524" t="s">
        <v>113</v>
      </c>
      <c r="D148" s="352">
        <v>1</v>
      </c>
      <c r="E148" s="351" t="s">
        <v>81</v>
      </c>
      <c r="F148" s="353">
        <v>0</v>
      </c>
      <c r="G148" s="353">
        <v>0</v>
      </c>
      <c r="H148" s="353">
        <v>500</v>
      </c>
      <c r="I148" s="353">
        <v>500</v>
      </c>
      <c r="J148" s="353">
        <v>500</v>
      </c>
      <c r="K148" s="351"/>
    </row>
    <row r="149" spans="1:11">
      <c r="A149" s="350"/>
      <c r="B149" s="355" t="s">
        <v>85</v>
      </c>
      <c r="C149" s="524" t="s">
        <v>114</v>
      </c>
      <c r="D149" s="352">
        <v>1</v>
      </c>
      <c r="E149" s="351" t="s">
        <v>81</v>
      </c>
      <c r="F149" s="353">
        <v>0</v>
      </c>
      <c r="G149" s="353">
        <v>0</v>
      </c>
      <c r="H149" s="353">
        <v>250</v>
      </c>
      <c r="I149" s="353">
        <v>250</v>
      </c>
      <c r="J149" s="353">
        <v>250</v>
      </c>
      <c r="K149" s="351"/>
    </row>
    <row r="150" spans="1:11">
      <c r="A150" s="350"/>
      <c r="B150" s="355" t="s">
        <v>85</v>
      </c>
      <c r="C150" s="524" t="s">
        <v>115</v>
      </c>
      <c r="D150" s="352">
        <v>1</v>
      </c>
      <c r="E150" s="351" t="s">
        <v>81</v>
      </c>
      <c r="F150" s="353">
        <v>0</v>
      </c>
      <c r="G150" s="353">
        <v>0</v>
      </c>
      <c r="H150" s="353">
        <v>250</v>
      </c>
      <c r="I150" s="353">
        <v>250</v>
      </c>
      <c r="J150" s="353">
        <v>250</v>
      </c>
      <c r="K150" s="351"/>
    </row>
    <row r="151" spans="1:11">
      <c r="A151" s="350"/>
      <c r="B151" s="355" t="s">
        <v>85</v>
      </c>
      <c r="C151" s="524" t="s">
        <v>394</v>
      </c>
      <c r="D151" s="352">
        <v>1</v>
      </c>
      <c r="E151" s="351" t="s">
        <v>81</v>
      </c>
      <c r="F151" s="353">
        <v>0</v>
      </c>
      <c r="G151" s="353">
        <v>0</v>
      </c>
      <c r="H151" s="353">
        <v>500</v>
      </c>
      <c r="I151" s="353">
        <v>500</v>
      </c>
      <c r="J151" s="353">
        <v>500</v>
      </c>
      <c r="K151" s="351"/>
    </row>
    <row r="152" spans="1:11">
      <c r="A152" s="350"/>
      <c r="B152" s="355" t="s">
        <v>85</v>
      </c>
      <c r="C152" s="524" t="s">
        <v>395</v>
      </c>
      <c r="D152" s="352">
        <v>38</v>
      </c>
      <c r="E152" s="351" t="s">
        <v>81</v>
      </c>
      <c r="F152" s="353">
        <v>0</v>
      </c>
      <c r="G152" s="353">
        <v>0</v>
      </c>
      <c r="H152" s="353">
        <v>500</v>
      </c>
      <c r="I152" s="353">
        <v>19000</v>
      </c>
      <c r="J152" s="353">
        <v>19000</v>
      </c>
      <c r="K152" s="351"/>
    </row>
    <row r="153" spans="1:11" s="373" customFormat="1">
      <c r="A153" s="350"/>
      <c r="B153" s="355" t="s">
        <v>85</v>
      </c>
      <c r="C153" s="524" t="s">
        <v>396</v>
      </c>
      <c r="D153" s="352">
        <v>1</v>
      </c>
      <c r="E153" s="351" t="s">
        <v>81</v>
      </c>
      <c r="F153" s="353">
        <v>0</v>
      </c>
      <c r="G153" s="353">
        <v>0</v>
      </c>
      <c r="H153" s="353">
        <v>500</v>
      </c>
      <c r="I153" s="353">
        <v>500</v>
      </c>
      <c r="J153" s="353">
        <v>500</v>
      </c>
      <c r="K153" s="351"/>
    </row>
    <row r="154" spans="1:11" s="453" customFormat="1">
      <c r="A154" s="350"/>
      <c r="B154" s="355" t="s">
        <v>85</v>
      </c>
      <c r="C154" s="524" t="s">
        <v>116</v>
      </c>
      <c r="D154" s="352">
        <v>1</v>
      </c>
      <c r="E154" s="351" t="s">
        <v>81</v>
      </c>
      <c r="F154" s="353">
        <v>0</v>
      </c>
      <c r="G154" s="353">
        <v>0</v>
      </c>
      <c r="H154" s="353">
        <v>200</v>
      </c>
      <c r="I154" s="353">
        <v>200</v>
      </c>
      <c r="J154" s="353">
        <v>200</v>
      </c>
      <c r="K154" s="351"/>
    </row>
    <row r="155" spans="1:11">
      <c r="A155" s="350"/>
      <c r="B155" s="355" t="s">
        <v>85</v>
      </c>
      <c r="C155" s="524" t="s">
        <v>117</v>
      </c>
      <c r="D155" s="352">
        <v>6</v>
      </c>
      <c r="E155" s="351" t="s">
        <v>81</v>
      </c>
      <c r="F155" s="353">
        <v>0</v>
      </c>
      <c r="G155" s="353">
        <v>0</v>
      </c>
      <c r="H155" s="353">
        <v>250</v>
      </c>
      <c r="I155" s="353">
        <v>1500</v>
      </c>
      <c r="J155" s="353">
        <v>1500</v>
      </c>
      <c r="K155" s="351"/>
    </row>
    <row r="156" spans="1:11">
      <c r="A156" s="350"/>
      <c r="B156" s="355" t="s">
        <v>85</v>
      </c>
      <c r="C156" s="524" t="s">
        <v>118</v>
      </c>
      <c r="D156" s="352">
        <v>3</v>
      </c>
      <c r="E156" s="351" t="s">
        <v>81</v>
      </c>
      <c r="F156" s="353">
        <v>4500</v>
      </c>
      <c r="G156" s="353">
        <v>13500</v>
      </c>
      <c r="H156" s="353">
        <v>500</v>
      </c>
      <c r="I156" s="353">
        <v>1500</v>
      </c>
      <c r="J156" s="353">
        <v>15000</v>
      </c>
      <c r="K156" s="351"/>
    </row>
    <row r="157" spans="1:11">
      <c r="A157" s="350"/>
      <c r="B157" s="351" t="s">
        <v>119</v>
      </c>
      <c r="C157" s="521"/>
      <c r="D157" s="352"/>
      <c r="E157" s="351"/>
      <c r="F157" s="353"/>
      <c r="G157" s="353"/>
      <c r="H157" s="353"/>
      <c r="I157" s="353"/>
      <c r="J157" s="353"/>
      <c r="K157" s="351"/>
    </row>
    <row r="158" spans="1:11">
      <c r="A158" s="350"/>
      <c r="B158" s="355" t="s">
        <v>85</v>
      </c>
      <c r="C158" s="524" t="s">
        <v>120</v>
      </c>
      <c r="D158" s="352">
        <v>1</v>
      </c>
      <c r="E158" s="351" t="s">
        <v>70</v>
      </c>
      <c r="F158" s="353">
        <v>50000</v>
      </c>
      <c r="G158" s="353">
        <v>50000</v>
      </c>
      <c r="H158" s="353">
        <v>5000</v>
      </c>
      <c r="I158" s="353">
        <v>5000</v>
      </c>
      <c r="J158" s="353">
        <v>55000</v>
      </c>
      <c r="K158" s="351"/>
    </row>
    <row r="159" spans="1:11">
      <c r="A159" s="350"/>
      <c r="B159" s="355" t="s">
        <v>85</v>
      </c>
      <c r="C159" s="524" t="s">
        <v>121</v>
      </c>
      <c r="D159" s="352">
        <v>1</v>
      </c>
      <c r="E159" s="351" t="s">
        <v>70</v>
      </c>
      <c r="F159" s="353">
        <v>5500</v>
      </c>
      <c r="G159" s="353">
        <v>5500</v>
      </c>
      <c r="H159" s="353">
        <v>0</v>
      </c>
      <c r="I159" s="353">
        <v>0</v>
      </c>
      <c r="J159" s="353">
        <v>5500</v>
      </c>
      <c r="K159" s="351"/>
    </row>
    <row r="160" spans="1:11">
      <c r="A160" s="369"/>
      <c r="B160" s="370" t="s">
        <v>491</v>
      </c>
      <c r="C160" s="525"/>
      <c r="D160" s="371"/>
      <c r="E160" s="370"/>
      <c r="F160" s="372"/>
      <c r="G160" s="372">
        <f>SUM(G144:G159)</f>
        <v>69000</v>
      </c>
      <c r="H160" s="372"/>
      <c r="I160" s="372">
        <f>SUM(I144:I159)</f>
        <v>32450</v>
      </c>
      <c r="J160" s="403">
        <f>SUM(J144:J159)</f>
        <v>100200</v>
      </c>
      <c r="K160" s="370"/>
    </row>
    <row r="161" spans="1:11">
      <c r="A161" s="449" t="s">
        <v>181</v>
      </c>
      <c r="B161" s="454" t="s">
        <v>123</v>
      </c>
      <c r="C161" s="526"/>
      <c r="D161" s="451"/>
      <c r="E161" s="450"/>
      <c r="F161" s="452"/>
      <c r="G161" s="452"/>
      <c r="H161" s="452"/>
      <c r="I161" s="452"/>
      <c r="J161" s="452"/>
      <c r="K161" s="450"/>
    </row>
    <row r="162" spans="1:11" ht="108.75">
      <c r="A162" s="350"/>
      <c r="B162" s="355" t="s">
        <v>85</v>
      </c>
      <c r="C162" s="524" t="s">
        <v>535</v>
      </c>
      <c r="D162" s="352">
        <v>1</v>
      </c>
      <c r="E162" s="351" t="s">
        <v>70</v>
      </c>
      <c r="F162" s="353">
        <v>25000</v>
      </c>
      <c r="G162" s="353">
        <f>F162*D162</f>
        <v>25000</v>
      </c>
      <c r="H162" s="353">
        <v>8500</v>
      </c>
      <c r="I162" s="353">
        <f>D162*H162</f>
        <v>8500</v>
      </c>
      <c r="J162" s="353">
        <f>G162+I162</f>
        <v>33500</v>
      </c>
      <c r="K162" s="351"/>
    </row>
    <row r="163" spans="1:11">
      <c r="A163" s="369"/>
      <c r="B163" s="370" t="s">
        <v>492</v>
      </c>
      <c r="C163" s="525"/>
      <c r="D163" s="371"/>
      <c r="E163" s="370"/>
      <c r="F163" s="372"/>
      <c r="G163" s="372">
        <f>SUM(G162:G162)</f>
        <v>25000</v>
      </c>
      <c r="H163" s="372"/>
      <c r="I163" s="372">
        <f>SUM(I162:I162)</f>
        <v>8500</v>
      </c>
      <c r="J163" s="403">
        <f>SUM(J162:J162)</f>
        <v>33500</v>
      </c>
      <c r="K163" s="370"/>
    </row>
    <row r="164" spans="1:11">
      <c r="A164" s="404"/>
      <c r="B164" s="670" t="s">
        <v>124</v>
      </c>
      <c r="C164" s="671"/>
      <c r="D164" s="405"/>
      <c r="E164" s="406"/>
      <c r="F164" s="407"/>
      <c r="G164" s="407">
        <f>G23+G31+G37+G49+G59+G69+G75+G83+G102+G105+G122+G141+G160+G163</f>
        <v>4581548.05</v>
      </c>
      <c r="H164" s="407"/>
      <c r="I164" s="407">
        <f>I23+I31+I37+I49+I59+I69+I75+I83+I102+I105+I122+I141+I160+I163</f>
        <v>872330</v>
      </c>
      <c r="J164" s="407">
        <f>J23+J31+J37+J49+J59+J69+J75+J83+J102+J105+J122+J141+J160+J163</f>
        <v>5452628.0500000007</v>
      </c>
      <c r="K164" s="406"/>
    </row>
    <row r="172" spans="1:11" s="373" customFormat="1">
      <c r="A172" s="116"/>
      <c r="B172" s="5"/>
      <c r="C172" s="527"/>
      <c r="D172" s="117"/>
      <c r="E172" s="5"/>
      <c r="F172" s="118"/>
      <c r="G172" s="118"/>
      <c r="H172" s="118"/>
      <c r="I172" s="118"/>
      <c r="J172" s="118"/>
      <c r="K172" s="5"/>
    </row>
    <row r="173" spans="1:11" s="453" customFormat="1">
      <c r="A173" s="116"/>
      <c r="B173" s="5"/>
      <c r="C173" s="527"/>
      <c r="D173" s="117"/>
      <c r="E173" s="5"/>
      <c r="F173" s="118"/>
      <c r="G173" s="118"/>
      <c r="H173" s="118"/>
      <c r="I173" s="118"/>
      <c r="J173" s="118"/>
      <c r="K173" s="5"/>
    </row>
    <row r="176" spans="1:11" s="373" customFormat="1">
      <c r="A176" s="116"/>
      <c r="B176" s="5"/>
      <c r="C176" s="527"/>
      <c r="D176" s="117"/>
      <c r="E176" s="5"/>
      <c r="F176" s="118"/>
      <c r="G176" s="118"/>
      <c r="H176" s="118"/>
      <c r="I176" s="118"/>
      <c r="J176" s="118"/>
      <c r="K176" s="5"/>
    </row>
    <row r="177" spans="1:11" s="408" customFormat="1">
      <c r="A177" s="116"/>
      <c r="B177" s="5"/>
      <c r="C177" s="527"/>
      <c r="D177" s="117"/>
      <c r="E177" s="5"/>
      <c r="F177" s="118"/>
      <c r="G177" s="118"/>
      <c r="H177" s="118"/>
      <c r="I177" s="118"/>
      <c r="J177" s="118"/>
      <c r="K177" s="5"/>
    </row>
  </sheetData>
  <mergeCells count="2">
    <mergeCell ref="B164:C164"/>
    <mergeCell ref="I5:J5"/>
  </mergeCells>
  <printOptions horizontalCentered="1"/>
  <pageMargins left="0.2" right="0.2" top="0.5" bottom="0.5" header="0.3" footer="0.3"/>
  <pageSetup paperSize="9" scale="86" fitToHeight="25" orientation="landscape" horizontalDpi="300" verticalDpi="300" r:id="rId1"/>
  <headerFooter alignWithMargins="0"/>
  <rowBreaks count="8" manualBreakCount="8">
    <brk id="23" max="10" man="1"/>
    <brk id="37" max="10" man="1"/>
    <brk id="59" max="10" man="1"/>
    <brk id="75" max="10" man="1"/>
    <brk id="105" max="10" man="1"/>
    <brk id="122" max="10" man="1"/>
    <brk id="141" max="10" man="1"/>
    <brk id="160" max="10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 tint="0.39997558519241921"/>
  </sheetPr>
  <dimension ref="A1:IV34"/>
  <sheetViews>
    <sheetView view="pageBreakPreview" zoomScale="90" zoomScaleNormal="90" zoomScaleSheetLayoutView="90" workbookViewId="0">
      <pane ySplit="8" topLeftCell="A9" activePane="bottomLeft" state="frozen"/>
      <selection activeCell="F45" sqref="F45"/>
      <selection pane="bottomLeft" activeCell="C11" sqref="C11"/>
    </sheetView>
  </sheetViews>
  <sheetFormatPr defaultColWidth="10.140625" defaultRowHeight="21.75"/>
  <cols>
    <col min="1" max="1" width="6.140625" style="261" customWidth="1"/>
    <col min="2" max="2" width="6.140625" style="300" customWidth="1"/>
    <col min="3" max="3" width="55.7109375" style="300" customWidth="1"/>
    <col min="4" max="4" width="10.7109375" style="301" customWidth="1"/>
    <col min="5" max="5" width="8.7109375" style="261" customWidth="1"/>
    <col min="6" max="9" width="15.7109375" style="278" customWidth="1"/>
    <col min="10" max="10" width="18.7109375" style="278" customWidth="1"/>
    <col min="11" max="11" width="15.7109375" style="278" customWidth="1"/>
    <col min="12" max="12" width="8.7109375" style="261" customWidth="1"/>
    <col min="13" max="14" width="11.5703125" style="261" bestFit="1" customWidth="1"/>
    <col min="15" max="15" width="12.85546875" style="261" bestFit="1" customWidth="1"/>
    <col min="16" max="19" width="20.140625" style="278" customWidth="1"/>
    <col min="20" max="22" width="12.140625" style="278" customWidth="1"/>
    <col min="23" max="24" width="20.140625" style="261" customWidth="1"/>
    <col min="25" max="256" width="10.140625" style="261"/>
    <col min="257" max="257" width="7.140625" style="261" customWidth="1"/>
    <col min="258" max="258" width="5" style="261" customWidth="1"/>
    <col min="259" max="259" width="65.42578125" style="261" customWidth="1"/>
    <col min="260" max="260" width="11" style="261" customWidth="1"/>
    <col min="261" max="261" width="6.85546875" style="261" customWidth="1"/>
    <col min="262" max="262" width="16" style="261" customWidth="1"/>
    <col min="263" max="263" width="15.7109375" style="261" customWidth="1"/>
    <col min="264" max="264" width="14.42578125" style="261" customWidth="1"/>
    <col min="265" max="265" width="14.140625" style="261" customWidth="1"/>
    <col min="266" max="266" width="18.42578125" style="261" customWidth="1"/>
    <col min="267" max="267" width="15.5703125" style="261" customWidth="1"/>
    <col min="268" max="268" width="8.7109375" style="261" customWidth="1"/>
    <col min="269" max="270" width="11.5703125" style="261" bestFit="1" customWidth="1"/>
    <col min="271" max="271" width="12.85546875" style="261" bestFit="1" customWidth="1"/>
    <col min="272" max="275" width="20.140625" style="261" customWidth="1"/>
    <col min="276" max="278" width="12.140625" style="261" customWidth="1"/>
    <col min="279" max="280" width="20.140625" style="261" customWidth="1"/>
    <col min="281" max="512" width="10.140625" style="261"/>
    <col min="513" max="513" width="7.140625" style="261" customWidth="1"/>
    <col min="514" max="514" width="5" style="261" customWidth="1"/>
    <col min="515" max="515" width="65.42578125" style="261" customWidth="1"/>
    <col min="516" max="516" width="11" style="261" customWidth="1"/>
    <col min="517" max="517" width="6.85546875" style="261" customWidth="1"/>
    <col min="518" max="518" width="16" style="261" customWidth="1"/>
    <col min="519" max="519" width="15.7109375" style="261" customWidth="1"/>
    <col min="520" max="520" width="14.42578125" style="261" customWidth="1"/>
    <col min="521" max="521" width="14.140625" style="261" customWidth="1"/>
    <col min="522" max="522" width="18.42578125" style="261" customWidth="1"/>
    <col min="523" max="523" width="15.5703125" style="261" customWidth="1"/>
    <col min="524" max="524" width="8.7109375" style="261" customWidth="1"/>
    <col min="525" max="526" width="11.5703125" style="261" bestFit="1" customWidth="1"/>
    <col min="527" max="527" width="12.85546875" style="261" bestFit="1" customWidth="1"/>
    <col min="528" max="531" width="20.140625" style="261" customWidth="1"/>
    <col min="532" max="534" width="12.140625" style="261" customWidth="1"/>
    <col min="535" max="536" width="20.140625" style="261" customWidth="1"/>
    <col min="537" max="768" width="10.140625" style="261"/>
    <col min="769" max="769" width="7.140625" style="261" customWidth="1"/>
    <col min="770" max="770" width="5" style="261" customWidth="1"/>
    <col min="771" max="771" width="65.42578125" style="261" customWidth="1"/>
    <col min="772" max="772" width="11" style="261" customWidth="1"/>
    <col min="773" max="773" width="6.85546875" style="261" customWidth="1"/>
    <col min="774" max="774" width="16" style="261" customWidth="1"/>
    <col min="775" max="775" width="15.7109375" style="261" customWidth="1"/>
    <col min="776" max="776" width="14.42578125" style="261" customWidth="1"/>
    <col min="777" max="777" width="14.140625" style="261" customWidth="1"/>
    <col min="778" max="778" width="18.42578125" style="261" customWidth="1"/>
    <col min="779" max="779" width="15.5703125" style="261" customWidth="1"/>
    <col min="780" max="780" width="8.7109375" style="261" customWidth="1"/>
    <col min="781" max="782" width="11.5703125" style="261" bestFit="1" customWidth="1"/>
    <col min="783" max="783" width="12.85546875" style="261" bestFit="1" customWidth="1"/>
    <col min="784" max="787" width="20.140625" style="261" customWidth="1"/>
    <col min="788" max="790" width="12.140625" style="261" customWidth="1"/>
    <col min="791" max="792" width="20.140625" style="261" customWidth="1"/>
    <col min="793" max="1024" width="10.140625" style="261"/>
    <col min="1025" max="1025" width="7.140625" style="261" customWidth="1"/>
    <col min="1026" max="1026" width="5" style="261" customWidth="1"/>
    <col min="1027" max="1027" width="65.42578125" style="261" customWidth="1"/>
    <col min="1028" max="1028" width="11" style="261" customWidth="1"/>
    <col min="1029" max="1029" width="6.85546875" style="261" customWidth="1"/>
    <col min="1030" max="1030" width="16" style="261" customWidth="1"/>
    <col min="1031" max="1031" width="15.7109375" style="261" customWidth="1"/>
    <col min="1032" max="1032" width="14.42578125" style="261" customWidth="1"/>
    <col min="1033" max="1033" width="14.140625" style="261" customWidth="1"/>
    <col min="1034" max="1034" width="18.42578125" style="261" customWidth="1"/>
    <col min="1035" max="1035" width="15.5703125" style="261" customWidth="1"/>
    <col min="1036" max="1036" width="8.7109375" style="261" customWidth="1"/>
    <col min="1037" max="1038" width="11.5703125" style="261" bestFit="1" customWidth="1"/>
    <col min="1039" max="1039" width="12.85546875" style="261" bestFit="1" customWidth="1"/>
    <col min="1040" max="1043" width="20.140625" style="261" customWidth="1"/>
    <col min="1044" max="1046" width="12.140625" style="261" customWidth="1"/>
    <col min="1047" max="1048" width="20.140625" style="261" customWidth="1"/>
    <col min="1049" max="1280" width="10.140625" style="261"/>
    <col min="1281" max="1281" width="7.140625" style="261" customWidth="1"/>
    <col min="1282" max="1282" width="5" style="261" customWidth="1"/>
    <col min="1283" max="1283" width="65.42578125" style="261" customWidth="1"/>
    <col min="1284" max="1284" width="11" style="261" customWidth="1"/>
    <col min="1285" max="1285" width="6.85546875" style="261" customWidth="1"/>
    <col min="1286" max="1286" width="16" style="261" customWidth="1"/>
    <col min="1287" max="1287" width="15.7109375" style="261" customWidth="1"/>
    <col min="1288" max="1288" width="14.42578125" style="261" customWidth="1"/>
    <col min="1289" max="1289" width="14.140625" style="261" customWidth="1"/>
    <col min="1290" max="1290" width="18.42578125" style="261" customWidth="1"/>
    <col min="1291" max="1291" width="15.5703125" style="261" customWidth="1"/>
    <col min="1292" max="1292" width="8.7109375" style="261" customWidth="1"/>
    <col min="1293" max="1294" width="11.5703125" style="261" bestFit="1" customWidth="1"/>
    <col min="1295" max="1295" width="12.85546875" style="261" bestFit="1" customWidth="1"/>
    <col min="1296" max="1299" width="20.140625" style="261" customWidth="1"/>
    <col min="1300" max="1302" width="12.140625" style="261" customWidth="1"/>
    <col min="1303" max="1304" width="20.140625" style="261" customWidth="1"/>
    <col min="1305" max="1536" width="10.140625" style="261"/>
    <col min="1537" max="1537" width="7.140625" style="261" customWidth="1"/>
    <col min="1538" max="1538" width="5" style="261" customWidth="1"/>
    <col min="1539" max="1539" width="65.42578125" style="261" customWidth="1"/>
    <col min="1540" max="1540" width="11" style="261" customWidth="1"/>
    <col min="1541" max="1541" width="6.85546875" style="261" customWidth="1"/>
    <col min="1542" max="1542" width="16" style="261" customWidth="1"/>
    <col min="1543" max="1543" width="15.7109375" style="261" customWidth="1"/>
    <col min="1544" max="1544" width="14.42578125" style="261" customWidth="1"/>
    <col min="1545" max="1545" width="14.140625" style="261" customWidth="1"/>
    <col min="1546" max="1546" width="18.42578125" style="261" customWidth="1"/>
    <col min="1547" max="1547" width="15.5703125" style="261" customWidth="1"/>
    <col min="1548" max="1548" width="8.7109375" style="261" customWidth="1"/>
    <col min="1549" max="1550" width="11.5703125" style="261" bestFit="1" customWidth="1"/>
    <col min="1551" max="1551" width="12.85546875" style="261" bestFit="1" customWidth="1"/>
    <col min="1552" max="1555" width="20.140625" style="261" customWidth="1"/>
    <col min="1556" max="1558" width="12.140625" style="261" customWidth="1"/>
    <col min="1559" max="1560" width="20.140625" style="261" customWidth="1"/>
    <col min="1561" max="1792" width="10.140625" style="261"/>
    <col min="1793" max="1793" width="7.140625" style="261" customWidth="1"/>
    <col min="1794" max="1794" width="5" style="261" customWidth="1"/>
    <col min="1795" max="1795" width="65.42578125" style="261" customWidth="1"/>
    <col min="1796" max="1796" width="11" style="261" customWidth="1"/>
    <col min="1797" max="1797" width="6.85546875" style="261" customWidth="1"/>
    <col min="1798" max="1798" width="16" style="261" customWidth="1"/>
    <col min="1799" max="1799" width="15.7109375" style="261" customWidth="1"/>
    <col min="1800" max="1800" width="14.42578125" style="261" customWidth="1"/>
    <col min="1801" max="1801" width="14.140625" style="261" customWidth="1"/>
    <col min="1802" max="1802" width="18.42578125" style="261" customWidth="1"/>
    <col min="1803" max="1803" width="15.5703125" style="261" customWidth="1"/>
    <col min="1804" max="1804" width="8.7109375" style="261" customWidth="1"/>
    <col min="1805" max="1806" width="11.5703125" style="261" bestFit="1" customWidth="1"/>
    <col min="1807" max="1807" width="12.85546875" style="261" bestFit="1" customWidth="1"/>
    <col min="1808" max="1811" width="20.140625" style="261" customWidth="1"/>
    <col min="1812" max="1814" width="12.140625" style="261" customWidth="1"/>
    <col min="1815" max="1816" width="20.140625" style="261" customWidth="1"/>
    <col min="1817" max="2048" width="10.140625" style="261"/>
    <col min="2049" max="2049" width="7.140625" style="261" customWidth="1"/>
    <col min="2050" max="2050" width="5" style="261" customWidth="1"/>
    <col min="2051" max="2051" width="65.42578125" style="261" customWidth="1"/>
    <col min="2052" max="2052" width="11" style="261" customWidth="1"/>
    <col min="2053" max="2053" width="6.85546875" style="261" customWidth="1"/>
    <col min="2054" max="2054" width="16" style="261" customWidth="1"/>
    <col min="2055" max="2055" width="15.7109375" style="261" customWidth="1"/>
    <col min="2056" max="2056" width="14.42578125" style="261" customWidth="1"/>
    <col min="2057" max="2057" width="14.140625" style="261" customWidth="1"/>
    <col min="2058" max="2058" width="18.42578125" style="261" customWidth="1"/>
    <col min="2059" max="2059" width="15.5703125" style="261" customWidth="1"/>
    <col min="2060" max="2060" width="8.7109375" style="261" customWidth="1"/>
    <col min="2061" max="2062" width="11.5703125" style="261" bestFit="1" customWidth="1"/>
    <col min="2063" max="2063" width="12.85546875" style="261" bestFit="1" customWidth="1"/>
    <col min="2064" max="2067" width="20.140625" style="261" customWidth="1"/>
    <col min="2068" max="2070" width="12.140625" style="261" customWidth="1"/>
    <col min="2071" max="2072" width="20.140625" style="261" customWidth="1"/>
    <col min="2073" max="2304" width="10.140625" style="261"/>
    <col min="2305" max="2305" width="7.140625" style="261" customWidth="1"/>
    <col min="2306" max="2306" width="5" style="261" customWidth="1"/>
    <col min="2307" max="2307" width="65.42578125" style="261" customWidth="1"/>
    <col min="2308" max="2308" width="11" style="261" customWidth="1"/>
    <col min="2309" max="2309" width="6.85546875" style="261" customWidth="1"/>
    <col min="2310" max="2310" width="16" style="261" customWidth="1"/>
    <col min="2311" max="2311" width="15.7109375" style="261" customWidth="1"/>
    <col min="2312" max="2312" width="14.42578125" style="261" customWidth="1"/>
    <col min="2313" max="2313" width="14.140625" style="261" customWidth="1"/>
    <col min="2314" max="2314" width="18.42578125" style="261" customWidth="1"/>
    <col min="2315" max="2315" width="15.5703125" style="261" customWidth="1"/>
    <col min="2316" max="2316" width="8.7109375" style="261" customWidth="1"/>
    <col min="2317" max="2318" width="11.5703125" style="261" bestFit="1" customWidth="1"/>
    <col min="2319" max="2319" width="12.85546875" style="261" bestFit="1" customWidth="1"/>
    <col min="2320" max="2323" width="20.140625" style="261" customWidth="1"/>
    <col min="2324" max="2326" width="12.140625" style="261" customWidth="1"/>
    <col min="2327" max="2328" width="20.140625" style="261" customWidth="1"/>
    <col min="2329" max="2560" width="10.140625" style="261"/>
    <col min="2561" max="2561" width="7.140625" style="261" customWidth="1"/>
    <col min="2562" max="2562" width="5" style="261" customWidth="1"/>
    <col min="2563" max="2563" width="65.42578125" style="261" customWidth="1"/>
    <col min="2564" max="2564" width="11" style="261" customWidth="1"/>
    <col min="2565" max="2565" width="6.85546875" style="261" customWidth="1"/>
    <col min="2566" max="2566" width="16" style="261" customWidth="1"/>
    <col min="2567" max="2567" width="15.7109375" style="261" customWidth="1"/>
    <col min="2568" max="2568" width="14.42578125" style="261" customWidth="1"/>
    <col min="2569" max="2569" width="14.140625" style="261" customWidth="1"/>
    <col min="2570" max="2570" width="18.42578125" style="261" customWidth="1"/>
    <col min="2571" max="2571" width="15.5703125" style="261" customWidth="1"/>
    <col min="2572" max="2572" width="8.7109375" style="261" customWidth="1"/>
    <col min="2573" max="2574" width="11.5703125" style="261" bestFit="1" customWidth="1"/>
    <col min="2575" max="2575" width="12.85546875" style="261" bestFit="1" customWidth="1"/>
    <col min="2576" max="2579" width="20.140625" style="261" customWidth="1"/>
    <col min="2580" max="2582" width="12.140625" style="261" customWidth="1"/>
    <col min="2583" max="2584" width="20.140625" style="261" customWidth="1"/>
    <col min="2585" max="2816" width="10.140625" style="261"/>
    <col min="2817" max="2817" width="7.140625" style="261" customWidth="1"/>
    <col min="2818" max="2818" width="5" style="261" customWidth="1"/>
    <col min="2819" max="2819" width="65.42578125" style="261" customWidth="1"/>
    <col min="2820" max="2820" width="11" style="261" customWidth="1"/>
    <col min="2821" max="2821" width="6.85546875" style="261" customWidth="1"/>
    <col min="2822" max="2822" width="16" style="261" customWidth="1"/>
    <col min="2823" max="2823" width="15.7109375" style="261" customWidth="1"/>
    <col min="2824" max="2824" width="14.42578125" style="261" customWidth="1"/>
    <col min="2825" max="2825" width="14.140625" style="261" customWidth="1"/>
    <col min="2826" max="2826" width="18.42578125" style="261" customWidth="1"/>
    <col min="2827" max="2827" width="15.5703125" style="261" customWidth="1"/>
    <col min="2828" max="2828" width="8.7109375" style="261" customWidth="1"/>
    <col min="2829" max="2830" width="11.5703125" style="261" bestFit="1" customWidth="1"/>
    <col min="2831" max="2831" width="12.85546875" style="261" bestFit="1" customWidth="1"/>
    <col min="2832" max="2835" width="20.140625" style="261" customWidth="1"/>
    <col min="2836" max="2838" width="12.140625" style="261" customWidth="1"/>
    <col min="2839" max="2840" width="20.140625" style="261" customWidth="1"/>
    <col min="2841" max="3072" width="10.140625" style="261"/>
    <col min="3073" max="3073" width="7.140625" style="261" customWidth="1"/>
    <col min="3074" max="3074" width="5" style="261" customWidth="1"/>
    <col min="3075" max="3075" width="65.42578125" style="261" customWidth="1"/>
    <col min="3076" max="3076" width="11" style="261" customWidth="1"/>
    <col min="3077" max="3077" width="6.85546875" style="261" customWidth="1"/>
    <col min="3078" max="3078" width="16" style="261" customWidth="1"/>
    <col min="3079" max="3079" width="15.7109375" style="261" customWidth="1"/>
    <col min="3080" max="3080" width="14.42578125" style="261" customWidth="1"/>
    <col min="3081" max="3081" width="14.140625" style="261" customWidth="1"/>
    <col min="3082" max="3082" width="18.42578125" style="261" customWidth="1"/>
    <col min="3083" max="3083" width="15.5703125" style="261" customWidth="1"/>
    <col min="3084" max="3084" width="8.7109375" style="261" customWidth="1"/>
    <col min="3085" max="3086" width="11.5703125" style="261" bestFit="1" customWidth="1"/>
    <col min="3087" max="3087" width="12.85546875" style="261" bestFit="1" customWidth="1"/>
    <col min="3088" max="3091" width="20.140625" style="261" customWidth="1"/>
    <col min="3092" max="3094" width="12.140625" style="261" customWidth="1"/>
    <col min="3095" max="3096" width="20.140625" style="261" customWidth="1"/>
    <col min="3097" max="3328" width="10.140625" style="261"/>
    <col min="3329" max="3329" width="7.140625" style="261" customWidth="1"/>
    <col min="3330" max="3330" width="5" style="261" customWidth="1"/>
    <col min="3331" max="3331" width="65.42578125" style="261" customWidth="1"/>
    <col min="3332" max="3332" width="11" style="261" customWidth="1"/>
    <col min="3333" max="3333" width="6.85546875" style="261" customWidth="1"/>
    <col min="3334" max="3334" width="16" style="261" customWidth="1"/>
    <col min="3335" max="3335" width="15.7109375" style="261" customWidth="1"/>
    <col min="3336" max="3336" width="14.42578125" style="261" customWidth="1"/>
    <col min="3337" max="3337" width="14.140625" style="261" customWidth="1"/>
    <col min="3338" max="3338" width="18.42578125" style="261" customWidth="1"/>
    <col min="3339" max="3339" width="15.5703125" style="261" customWidth="1"/>
    <col min="3340" max="3340" width="8.7109375" style="261" customWidth="1"/>
    <col min="3341" max="3342" width="11.5703125" style="261" bestFit="1" customWidth="1"/>
    <col min="3343" max="3343" width="12.85546875" style="261" bestFit="1" customWidth="1"/>
    <col min="3344" max="3347" width="20.140625" style="261" customWidth="1"/>
    <col min="3348" max="3350" width="12.140625" style="261" customWidth="1"/>
    <col min="3351" max="3352" width="20.140625" style="261" customWidth="1"/>
    <col min="3353" max="3584" width="10.140625" style="261"/>
    <col min="3585" max="3585" width="7.140625" style="261" customWidth="1"/>
    <col min="3586" max="3586" width="5" style="261" customWidth="1"/>
    <col min="3587" max="3587" width="65.42578125" style="261" customWidth="1"/>
    <col min="3588" max="3588" width="11" style="261" customWidth="1"/>
    <col min="3589" max="3589" width="6.85546875" style="261" customWidth="1"/>
    <col min="3590" max="3590" width="16" style="261" customWidth="1"/>
    <col min="3591" max="3591" width="15.7109375" style="261" customWidth="1"/>
    <col min="3592" max="3592" width="14.42578125" style="261" customWidth="1"/>
    <col min="3593" max="3593" width="14.140625" style="261" customWidth="1"/>
    <col min="3594" max="3594" width="18.42578125" style="261" customWidth="1"/>
    <col min="3595" max="3595" width="15.5703125" style="261" customWidth="1"/>
    <col min="3596" max="3596" width="8.7109375" style="261" customWidth="1"/>
    <col min="3597" max="3598" width="11.5703125" style="261" bestFit="1" customWidth="1"/>
    <col min="3599" max="3599" width="12.85546875" style="261" bestFit="1" customWidth="1"/>
    <col min="3600" max="3603" width="20.140625" style="261" customWidth="1"/>
    <col min="3604" max="3606" width="12.140625" style="261" customWidth="1"/>
    <col min="3607" max="3608" width="20.140625" style="261" customWidth="1"/>
    <col min="3609" max="3840" width="10.140625" style="261"/>
    <col min="3841" max="3841" width="7.140625" style="261" customWidth="1"/>
    <col min="3842" max="3842" width="5" style="261" customWidth="1"/>
    <col min="3843" max="3843" width="65.42578125" style="261" customWidth="1"/>
    <col min="3844" max="3844" width="11" style="261" customWidth="1"/>
    <col min="3845" max="3845" width="6.85546875" style="261" customWidth="1"/>
    <col min="3846" max="3846" width="16" style="261" customWidth="1"/>
    <col min="3847" max="3847" width="15.7109375" style="261" customWidth="1"/>
    <col min="3848" max="3848" width="14.42578125" style="261" customWidth="1"/>
    <col min="3849" max="3849" width="14.140625" style="261" customWidth="1"/>
    <col min="3850" max="3850" width="18.42578125" style="261" customWidth="1"/>
    <col min="3851" max="3851" width="15.5703125" style="261" customWidth="1"/>
    <col min="3852" max="3852" width="8.7109375" style="261" customWidth="1"/>
    <col min="3853" max="3854" width="11.5703125" style="261" bestFit="1" customWidth="1"/>
    <col min="3855" max="3855" width="12.85546875" style="261" bestFit="1" customWidth="1"/>
    <col min="3856" max="3859" width="20.140625" style="261" customWidth="1"/>
    <col min="3860" max="3862" width="12.140625" style="261" customWidth="1"/>
    <col min="3863" max="3864" width="20.140625" style="261" customWidth="1"/>
    <col min="3865" max="4096" width="10.140625" style="261"/>
    <col min="4097" max="4097" width="7.140625" style="261" customWidth="1"/>
    <col min="4098" max="4098" width="5" style="261" customWidth="1"/>
    <col min="4099" max="4099" width="65.42578125" style="261" customWidth="1"/>
    <col min="4100" max="4100" width="11" style="261" customWidth="1"/>
    <col min="4101" max="4101" width="6.85546875" style="261" customWidth="1"/>
    <col min="4102" max="4102" width="16" style="261" customWidth="1"/>
    <col min="4103" max="4103" width="15.7109375" style="261" customWidth="1"/>
    <col min="4104" max="4104" width="14.42578125" style="261" customWidth="1"/>
    <col min="4105" max="4105" width="14.140625" style="261" customWidth="1"/>
    <col min="4106" max="4106" width="18.42578125" style="261" customWidth="1"/>
    <col min="4107" max="4107" width="15.5703125" style="261" customWidth="1"/>
    <col min="4108" max="4108" width="8.7109375" style="261" customWidth="1"/>
    <col min="4109" max="4110" width="11.5703125" style="261" bestFit="1" customWidth="1"/>
    <col min="4111" max="4111" width="12.85546875" style="261" bestFit="1" customWidth="1"/>
    <col min="4112" max="4115" width="20.140625" style="261" customWidth="1"/>
    <col min="4116" max="4118" width="12.140625" style="261" customWidth="1"/>
    <col min="4119" max="4120" width="20.140625" style="261" customWidth="1"/>
    <col min="4121" max="4352" width="10.140625" style="261"/>
    <col min="4353" max="4353" width="7.140625" style="261" customWidth="1"/>
    <col min="4354" max="4354" width="5" style="261" customWidth="1"/>
    <col min="4355" max="4355" width="65.42578125" style="261" customWidth="1"/>
    <col min="4356" max="4356" width="11" style="261" customWidth="1"/>
    <col min="4357" max="4357" width="6.85546875" style="261" customWidth="1"/>
    <col min="4358" max="4358" width="16" style="261" customWidth="1"/>
    <col min="4359" max="4359" width="15.7109375" style="261" customWidth="1"/>
    <col min="4360" max="4360" width="14.42578125" style="261" customWidth="1"/>
    <col min="4361" max="4361" width="14.140625" style="261" customWidth="1"/>
    <col min="4362" max="4362" width="18.42578125" style="261" customWidth="1"/>
    <col min="4363" max="4363" width="15.5703125" style="261" customWidth="1"/>
    <col min="4364" max="4364" width="8.7109375" style="261" customWidth="1"/>
    <col min="4365" max="4366" width="11.5703125" style="261" bestFit="1" customWidth="1"/>
    <col min="4367" max="4367" width="12.85546875" style="261" bestFit="1" customWidth="1"/>
    <col min="4368" max="4371" width="20.140625" style="261" customWidth="1"/>
    <col min="4372" max="4374" width="12.140625" style="261" customWidth="1"/>
    <col min="4375" max="4376" width="20.140625" style="261" customWidth="1"/>
    <col min="4377" max="4608" width="10.140625" style="261"/>
    <col min="4609" max="4609" width="7.140625" style="261" customWidth="1"/>
    <col min="4610" max="4610" width="5" style="261" customWidth="1"/>
    <col min="4611" max="4611" width="65.42578125" style="261" customWidth="1"/>
    <col min="4612" max="4612" width="11" style="261" customWidth="1"/>
    <col min="4613" max="4613" width="6.85546875" style="261" customWidth="1"/>
    <col min="4614" max="4614" width="16" style="261" customWidth="1"/>
    <col min="4615" max="4615" width="15.7109375" style="261" customWidth="1"/>
    <col min="4616" max="4616" width="14.42578125" style="261" customWidth="1"/>
    <col min="4617" max="4617" width="14.140625" style="261" customWidth="1"/>
    <col min="4618" max="4618" width="18.42578125" style="261" customWidth="1"/>
    <col min="4619" max="4619" width="15.5703125" style="261" customWidth="1"/>
    <col min="4620" max="4620" width="8.7109375" style="261" customWidth="1"/>
    <col min="4621" max="4622" width="11.5703125" style="261" bestFit="1" customWidth="1"/>
    <col min="4623" max="4623" width="12.85546875" style="261" bestFit="1" customWidth="1"/>
    <col min="4624" max="4627" width="20.140625" style="261" customWidth="1"/>
    <col min="4628" max="4630" width="12.140625" style="261" customWidth="1"/>
    <col min="4631" max="4632" width="20.140625" style="261" customWidth="1"/>
    <col min="4633" max="4864" width="10.140625" style="261"/>
    <col min="4865" max="4865" width="7.140625" style="261" customWidth="1"/>
    <col min="4866" max="4866" width="5" style="261" customWidth="1"/>
    <col min="4867" max="4867" width="65.42578125" style="261" customWidth="1"/>
    <col min="4868" max="4868" width="11" style="261" customWidth="1"/>
    <col min="4869" max="4869" width="6.85546875" style="261" customWidth="1"/>
    <col min="4870" max="4870" width="16" style="261" customWidth="1"/>
    <col min="4871" max="4871" width="15.7109375" style="261" customWidth="1"/>
    <col min="4872" max="4872" width="14.42578125" style="261" customWidth="1"/>
    <col min="4873" max="4873" width="14.140625" style="261" customWidth="1"/>
    <col min="4874" max="4874" width="18.42578125" style="261" customWidth="1"/>
    <col min="4875" max="4875" width="15.5703125" style="261" customWidth="1"/>
    <col min="4876" max="4876" width="8.7109375" style="261" customWidth="1"/>
    <col min="4877" max="4878" width="11.5703125" style="261" bestFit="1" customWidth="1"/>
    <col min="4879" max="4879" width="12.85546875" style="261" bestFit="1" customWidth="1"/>
    <col min="4880" max="4883" width="20.140625" style="261" customWidth="1"/>
    <col min="4884" max="4886" width="12.140625" style="261" customWidth="1"/>
    <col min="4887" max="4888" width="20.140625" style="261" customWidth="1"/>
    <col min="4889" max="5120" width="10.140625" style="261"/>
    <col min="5121" max="5121" width="7.140625" style="261" customWidth="1"/>
    <col min="5122" max="5122" width="5" style="261" customWidth="1"/>
    <col min="5123" max="5123" width="65.42578125" style="261" customWidth="1"/>
    <col min="5124" max="5124" width="11" style="261" customWidth="1"/>
    <col min="5125" max="5125" width="6.85546875" style="261" customWidth="1"/>
    <col min="5126" max="5126" width="16" style="261" customWidth="1"/>
    <col min="5127" max="5127" width="15.7109375" style="261" customWidth="1"/>
    <col min="5128" max="5128" width="14.42578125" style="261" customWidth="1"/>
    <col min="5129" max="5129" width="14.140625" style="261" customWidth="1"/>
    <col min="5130" max="5130" width="18.42578125" style="261" customWidth="1"/>
    <col min="5131" max="5131" width="15.5703125" style="261" customWidth="1"/>
    <col min="5132" max="5132" width="8.7109375" style="261" customWidth="1"/>
    <col min="5133" max="5134" width="11.5703125" style="261" bestFit="1" customWidth="1"/>
    <col min="5135" max="5135" width="12.85546875" style="261" bestFit="1" customWidth="1"/>
    <col min="5136" max="5139" width="20.140625" style="261" customWidth="1"/>
    <col min="5140" max="5142" width="12.140625" style="261" customWidth="1"/>
    <col min="5143" max="5144" width="20.140625" style="261" customWidth="1"/>
    <col min="5145" max="5376" width="10.140625" style="261"/>
    <col min="5377" max="5377" width="7.140625" style="261" customWidth="1"/>
    <col min="5378" max="5378" width="5" style="261" customWidth="1"/>
    <col min="5379" max="5379" width="65.42578125" style="261" customWidth="1"/>
    <col min="5380" max="5380" width="11" style="261" customWidth="1"/>
    <col min="5381" max="5381" width="6.85546875" style="261" customWidth="1"/>
    <col min="5382" max="5382" width="16" style="261" customWidth="1"/>
    <col min="5383" max="5383" width="15.7109375" style="261" customWidth="1"/>
    <col min="5384" max="5384" width="14.42578125" style="261" customWidth="1"/>
    <col min="5385" max="5385" width="14.140625" style="261" customWidth="1"/>
    <col min="5386" max="5386" width="18.42578125" style="261" customWidth="1"/>
    <col min="5387" max="5387" width="15.5703125" style="261" customWidth="1"/>
    <col min="5388" max="5388" width="8.7109375" style="261" customWidth="1"/>
    <col min="5389" max="5390" width="11.5703125" style="261" bestFit="1" customWidth="1"/>
    <col min="5391" max="5391" width="12.85546875" style="261" bestFit="1" customWidth="1"/>
    <col min="5392" max="5395" width="20.140625" style="261" customWidth="1"/>
    <col min="5396" max="5398" width="12.140625" style="261" customWidth="1"/>
    <col min="5399" max="5400" width="20.140625" style="261" customWidth="1"/>
    <col min="5401" max="5632" width="10.140625" style="261"/>
    <col min="5633" max="5633" width="7.140625" style="261" customWidth="1"/>
    <col min="5634" max="5634" width="5" style="261" customWidth="1"/>
    <col min="5635" max="5635" width="65.42578125" style="261" customWidth="1"/>
    <col min="5636" max="5636" width="11" style="261" customWidth="1"/>
    <col min="5637" max="5637" width="6.85546875" style="261" customWidth="1"/>
    <col min="5638" max="5638" width="16" style="261" customWidth="1"/>
    <col min="5639" max="5639" width="15.7109375" style="261" customWidth="1"/>
    <col min="5640" max="5640" width="14.42578125" style="261" customWidth="1"/>
    <col min="5641" max="5641" width="14.140625" style="261" customWidth="1"/>
    <col min="5642" max="5642" width="18.42578125" style="261" customWidth="1"/>
    <col min="5643" max="5643" width="15.5703125" style="261" customWidth="1"/>
    <col min="5644" max="5644" width="8.7109375" style="261" customWidth="1"/>
    <col min="5645" max="5646" width="11.5703125" style="261" bestFit="1" customWidth="1"/>
    <col min="5647" max="5647" width="12.85546875" style="261" bestFit="1" customWidth="1"/>
    <col min="5648" max="5651" width="20.140625" style="261" customWidth="1"/>
    <col min="5652" max="5654" width="12.140625" style="261" customWidth="1"/>
    <col min="5655" max="5656" width="20.140625" style="261" customWidth="1"/>
    <col min="5657" max="5888" width="10.140625" style="261"/>
    <col min="5889" max="5889" width="7.140625" style="261" customWidth="1"/>
    <col min="5890" max="5890" width="5" style="261" customWidth="1"/>
    <col min="5891" max="5891" width="65.42578125" style="261" customWidth="1"/>
    <col min="5892" max="5892" width="11" style="261" customWidth="1"/>
    <col min="5893" max="5893" width="6.85546875" style="261" customWidth="1"/>
    <col min="5894" max="5894" width="16" style="261" customWidth="1"/>
    <col min="5895" max="5895" width="15.7109375" style="261" customWidth="1"/>
    <col min="5896" max="5896" width="14.42578125" style="261" customWidth="1"/>
    <col min="5897" max="5897" width="14.140625" style="261" customWidth="1"/>
    <col min="5898" max="5898" width="18.42578125" style="261" customWidth="1"/>
    <col min="5899" max="5899" width="15.5703125" style="261" customWidth="1"/>
    <col min="5900" max="5900" width="8.7109375" style="261" customWidth="1"/>
    <col min="5901" max="5902" width="11.5703125" style="261" bestFit="1" customWidth="1"/>
    <col min="5903" max="5903" width="12.85546875" style="261" bestFit="1" customWidth="1"/>
    <col min="5904" max="5907" width="20.140625" style="261" customWidth="1"/>
    <col min="5908" max="5910" width="12.140625" style="261" customWidth="1"/>
    <col min="5911" max="5912" width="20.140625" style="261" customWidth="1"/>
    <col min="5913" max="6144" width="10.140625" style="261"/>
    <col min="6145" max="6145" width="7.140625" style="261" customWidth="1"/>
    <col min="6146" max="6146" width="5" style="261" customWidth="1"/>
    <col min="6147" max="6147" width="65.42578125" style="261" customWidth="1"/>
    <col min="6148" max="6148" width="11" style="261" customWidth="1"/>
    <col min="6149" max="6149" width="6.85546875" style="261" customWidth="1"/>
    <col min="6150" max="6150" width="16" style="261" customWidth="1"/>
    <col min="6151" max="6151" width="15.7109375" style="261" customWidth="1"/>
    <col min="6152" max="6152" width="14.42578125" style="261" customWidth="1"/>
    <col min="6153" max="6153" width="14.140625" style="261" customWidth="1"/>
    <col min="6154" max="6154" width="18.42578125" style="261" customWidth="1"/>
    <col min="6155" max="6155" width="15.5703125" style="261" customWidth="1"/>
    <col min="6156" max="6156" width="8.7109375" style="261" customWidth="1"/>
    <col min="6157" max="6158" width="11.5703125" style="261" bestFit="1" customWidth="1"/>
    <col min="6159" max="6159" width="12.85546875" style="261" bestFit="1" customWidth="1"/>
    <col min="6160" max="6163" width="20.140625" style="261" customWidth="1"/>
    <col min="6164" max="6166" width="12.140625" style="261" customWidth="1"/>
    <col min="6167" max="6168" width="20.140625" style="261" customWidth="1"/>
    <col min="6169" max="6400" width="10.140625" style="261"/>
    <col min="6401" max="6401" width="7.140625" style="261" customWidth="1"/>
    <col min="6402" max="6402" width="5" style="261" customWidth="1"/>
    <col min="6403" max="6403" width="65.42578125" style="261" customWidth="1"/>
    <col min="6404" max="6404" width="11" style="261" customWidth="1"/>
    <col min="6405" max="6405" width="6.85546875" style="261" customWidth="1"/>
    <col min="6406" max="6406" width="16" style="261" customWidth="1"/>
    <col min="6407" max="6407" width="15.7109375" style="261" customWidth="1"/>
    <col min="6408" max="6408" width="14.42578125" style="261" customWidth="1"/>
    <col min="6409" max="6409" width="14.140625" style="261" customWidth="1"/>
    <col min="6410" max="6410" width="18.42578125" style="261" customWidth="1"/>
    <col min="6411" max="6411" width="15.5703125" style="261" customWidth="1"/>
    <col min="6412" max="6412" width="8.7109375" style="261" customWidth="1"/>
    <col min="6413" max="6414" width="11.5703125" style="261" bestFit="1" customWidth="1"/>
    <col min="6415" max="6415" width="12.85546875" style="261" bestFit="1" customWidth="1"/>
    <col min="6416" max="6419" width="20.140625" style="261" customWidth="1"/>
    <col min="6420" max="6422" width="12.140625" style="261" customWidth="1"/>
    <col min="6423" max="6424" width="20.140625" style="261" customWidth="1"/>
    <col min="6425" max="6656" width="10.140625" style="261"/>
    <col min="6657" max="6657" width="7.140625" style="261" customWidth="1"/>
    <col min="6658" max="6658" width="5" style="261" customWidth="1"/>
    <col min="6659" max="6659" width="65.42578125" style="261" customWidth="1"/>
    <col min="6660" max="6660" width="11" style="261" customWidth="1"/>
    <col min="6661" max="6661" width="6.85546875" style="261" customWidth="1"/>
    <col min="6662" max="6662" width="16" style="261" customWidth="1"/>
    <col min="6663" max="6663" width="15.7109375" style="261" customWidth="1"/>
    <col min="6664" max="6664" width="14.42578125" style="261" customWidth="1"/>
    <col min="6665" max="6665" width="14.140625" style="261" customWidth="1"/>
    <col min="6666" max="6666" width="18.42578125" style="261" customWidth="1"/>
    <col min="6667" max="6667" width="15.5703125" style="261" customWidth="1"/>
    <col min="6668" max="6668" width="8.7109375" style="261" customWidth="1"/>
    <col min="6669" max="6670" width="11.5703125" style="261" bestFit="1" customWidth="1"/>
    <col min="6671" max="6671" width="12.85546875" style="261" bestFit="1" customWidth="1"/>
    <col min="6672" max="6675" width="20.140625" style="261" customWidth="1"/>
    <col min="6676" max="6678" width="12.140625" style="261" customWidth="1"/>
    <col min="6679" max="6680" width="20.140625" style="261" customWidth="1"/>
    <col min="6681" max="6912" width="10.140625" style="261"/>
    <col min="6913" max="6913" width="7.140625" style="261" customWidth="1"/>
    <col min="6914" max="6914" width="5" style="261" customWidth="1"/>
    <col min="6915" max="6915" width="65.42578125" style="261" customWidth="1"/>
    <col min="6916" max="6916" width="11" style="261" customWidth="1"/>
    <col min="6917" max="6917" width="6.85546875" style="261" customWidth="1"/>
    <col min="6918" max="6918" width="16" style="261" customWidth="1"/>
    <col min="6919" max="6919" width="15.7109375" style="261" customWidth="1"/>
    <col min="6920" max="6920" width="14.42578125" style="261" customWidth="1"/>
    <col min="6921" max="6921" width="14.140625" style="261" customWidth="1"/>
    <col min="6922" max="6922" width="18.42578125" style="261" customWidth="1"/>
    <col min="6923" max="6923" width="15.5703125" style="261" customWidth="1"/>
    <col min="6924" max="6924" width="8.7109375" style="261" customWidth="1"/>
    <col min="6925" max="6926" width="11.5703125" style="261" bestFit="1" customWidth="1"/>
    <col min="6927" max="6927" width="12.85546875" style="261" bestFit="1" customWidth="1"/>
    <col min="6928" max="6931" width="20.140625" style="261" customWidth="1"/>
    <col min="6932" max="6934" width="12.140625" style="261" customWidth="1"/>
    <col min="6935" max="6936" width="20.140625" style="261" customWidth="1"/>
    <col min="6937" max="7168" width="10.140625" style="261"/>
    <col min="7169" max="7169" width="7.140625" style="261" customWidth="1"/>
    <col min="7170" max="7170" width="5" style="261" customWidth="1"/>
    <col min="7171" max="7171" width="65.42578125" style="261" customWidth="1"/>
    <col min="7172" max="7172" width="11" style="261" customWidth="1"/>
    <col min="7173" max="7173" width="6.85546875" style="261" customWidth="1"/>
    <col min="7174" max="7174" width="16" style="261" customWidth="1"/>
    <col min="7175" max="7175" width="15.7109375" style="261" customWidth="1"/>
    <col min="7176" max="7176" width="14.42578125" style="261" customWidth="1"/>
    <col min="7177" max="7177" width="14.140625" style="261" customWidth="1"/>
    <col min="7178" max="7178" width="18.42578125" style="261" customWidth="1"/>
    <col min="7179" max="7179" width="15.5703125" style="261" customWidth="1"/>
    <col min="7180" max="7180" width="8.7109375" style="261" customWidth="1"/>
    <col min="7181" max="7182" width="11.5703125" style="261" bestFit="1" customWidth="1"/>
    <col min="7183" max="7183" width="12.85546875" style="261" bestFit="1" customWidth="1"/>
    <col min="7184" max="7187" width="20.140625" style="261" customWidth="1"/>
    <col min="7188" max="7190" width="12.140625" style="261" customWidth="1"/>
    <col min="7191" max="7192" width="20.140625" style="261" customWidth="1"/>
    <col min="7193" max="7424" width="10.140625" style="261"/>
    <col min="7425" max="7425" width="7.140625" style="261" customWidth="1"/>
    <col min="7426" max="7426" width="5" style="261" customWidth="1"/>
    <col min="7427" max="7427" width="65.42578125" style="261" customWidth="1"/>
    <col min="7428" max="7428" width="11" style="261" customWidth="1"/>
    <col min="7429" max="7429" width="6.85546875" style="261" customWidth="1"/>
    <col min="7430" max="7430" width="16" style="261" customWidth="1"/>
    <col min="7431" max="7431" width="15.7109375" style="261" customWidth="1"/>
    <col min="7432" max="7432" width="14.42578125" style="261" customWidth="1"/>
    <col min="7433" max="7433" width="14.140625" style="261" customWidth="1"/>
    <col min="7434" max="7434" width="18.42578125" style="261" customWidth="1"/>
    <col min="7435" max="7435" width="15.5703125" style="261" customWidth="1"/>
    <col min="7436" max="7436" width="8.7109375" style="261" customWidth="1"/>
    <col min="7437" max="7438" width="11.5703125" style="261" bestFit="1" customWidth="1"/>
    <col min="7439" max="7439" width="12.85546875" style="261" bestFit="1" customWidth="1"/>
    <col min="7440" max="7443" width="20.140625" style="261" customWidth="1"/>
    <col min="7444" max="7446" width="12.140625" style="261" customWidth="1"/>
    <col min="7447" max="7448" width="20.140625" style="261" customWidth="1"/>
    <col min="7449" max="7680" width="10.140625" style="261"/>
    <col min="7681" max="7681" width="7.140625" style="261" customWidth="1"/>
    <col min="7682" max="7682" width="5" style="261" customWidth="1"/>
    <col min="7683" max="7683" width="65.42578125" style="261" customWidth="1"/>
    <col min="7684" max="7684" width="11" style="261" customWidth="1"/>
    <col min="7685" max="7685" width="6.85546875" style="261" customWidth="1"/>
    <col min="7686" max="7686" width="16" style="261" customWidth="1"/>
    <col min="7687" max="7687" width="15.7109375" style="261" customWidth="1"/>
    <col min="7688" max="7688" width="14.42578125" style="261" customWidth="1"/>
    <col min="7689" max="7689" width="14.140625" style="261" customWidth="1"/>
    <col min="7690" max="7690" width="18.42578125" style="261" customWidth="1"/>
    <col min="7691" max="7691" width="15.5703125" style="261" customWidth="1"/>
    <col min="7692" max="7692" width="8.7109375" style="261" customWidth="1"/>
    <col min="7693" max="7694" width="11.5703125" style="261" bestFit="1" customWidth="1"/>
    <col min="7695" max="7695" width="12.85546875" style="261" bestFit="1" customWidth="1"/>
    <col min="7696" max="7699" width="20.140625" style="261" customWidth="1"/>
    <col min="7700" max="7702" width="12.140625" style="261" customWidth="1"/>
    <col min="7703" max="7704" width="20.140625" style="261" customWidth="1"/>
    <col min="7705" max="7936" width="10.140625" style="261"/>
    <col min="7937" max="7937" width="7.140625" style="261" customWidth="1"/>
    <col min="7938" max="7938" width="5" style="261" customWidth="1"/>
    <col min="7939" max="7939" width="65.42578125" style="261" customWidth="1"/>
    <col min="7940" max="7940" width="11" style="261" customWidth="1"/>
    <col min="7941" max="7941" width="6.85546875" style="261" customWidth="1"/>
    <col min="7942" max="7942" width="16" style="261" customWidth="1"/>
    <col min="7943" max="7943" width="15.7109375" style="261" customWidth="1"/>
    <col min="7944" max="7944" width="14.42578125" style="261" customWidth="1"/>
    <col min="7945" max="7945" width="14.140625" style="261" customWidth="1"/>
    <col min="7946" max="7946" width="18.42578125" style="261" customWidth="1"/>
    <col min="7947" max="7947" width="15.5703125" style="261" customWidth="1"/>
    <col min="7948" max="7948" width="8.7109375" style="261" customWidth="1"/>
    <col min="7949" max="7950" width="11.5703125" style="261" bestFit="1" customWidth="1"/>
    <col min="7951" max="7951" width="12.85546875" style="261" bestFit="1" customWidth="1"/>
    <col min="7952" max="7955" width="20.140625" style="261" customWidth="1"/>
    <col min="7956" max="7958" width="12.140625" style="261" customWidth="1"/>
    <col min="7959" max="7960" width="20.140625" style="261" customWidth="1"/>
    <col min="7961" max="8192" width="10.140625" style="261"/>
    <col min="8193" max="8193" width="7.140625" style="261" customWidth="1"/>
    <col min="8194" max="8194" width="5" style="261" customWidth="1"/>
    <col min="8195" max="8195" width="65.42578125" style="261" customWidth="1"/>
    <col min="8196" max="8196" width="11" style="261" customWidth="1"/>
    <col min="8197" max="8197" width="6.85546875" style="261" customWidth="1"/>
    <col min="8198" max="8198" width="16" style="261" customWidth="1"/>
    <col min="8199" max="8199" width="15.7109375" style="261" customWidth="1"/>
    <col min="8200" max="8200" width="14.42578125" style="261" customWidth="1"/>
    <col min="8201" max="8201" width="14.140625" style="261" customWidth="1"/>
    <col min="8202" max="8202" width="18.42578125" style="261" customWidth="1"/>
    <col min="8203" max="8203" width="15.5703125" style="261" customWidth="1"/>
    <col min="8204" max="8204" width="8.7109375" style="261" customWidth="1"/>
    <col min="8205" max="8206" width="11.5703125" style="261" bestFit="1" customWidth="1"/>
    <col min="8207" max="8207" width="12.85546875" style="261" bestFit="1" customWidth="1"/>
    <col min="8208" max="8211" width="20.140625" style="261" customWidth="1"/>
    <col min="8212" max="8214" width="12.140625" style="261" customWidth="1"/>
    <col min="8215" max="8216" width="20.140625" style="261" customWidth="1"/>
    <col min="8217" max="8448" width="10.140625" style="261"/>
    <col min="8449" max="8449" width="7.140625" style="261" customWidth="1"/>
    <col min="8450" max="8450" width="5" style="261" customWidth="1"/>
    <col min="8451" max="8451" width="65.42578125" style="261" customWidth="1"/>
    <col min="8452" max="8452" width="11" style="261" customWidth="1"/>
    <col min="8453" max="8453" width="6.85546875" style="261" customWidth="1"/>
    <col min="8454" max="8454" width="16" style="261" customWidth="1"/>
    <col min="8455" max="8455" width="15.7109375" style="261" customWidth="1"/>
    <col min="8456" max="8456" width="14.42578125" style="261" customWidth="1"/>
    <col min="8457" max="8457" width="14.140625" style="261" customWidth="1"/>
    <col min="8458" max="8458" width="18.42578125" style="261" customWidth="1"/>
    <col min="8459" max="8459" width="15.5703125" style="261" customWidth="1"/>
    <col min="8460" max="8460" width="8.7109375" style="261" customWidth="1"/>
    <col min="8461" max="8462" width="11.5703125" style="261" bestFit="1" customWidth="1"/>
    <col min="8463" max="8463" width="12.85546875" style="261" bestFit="1" customWidth="1"/>
    <col min="8464" max="8467" width="20.140625" style="261" customWidth="1"/>
    <col min="8468" max="8470" width="12.140625" style="261" customWidth="1"/>
    <col min="8471" max="8472" width="20.140625" style="261" customWidth="1"/>
    <col min="8473" max="8704" width="10.140625" style="261"/>
    <col min="8705" max="8705" width="7.140625" style="261" customWidth="1"/>
    <col min="8706" max="8706" width="5" style="261" customWidth="1"/>
    <col min="8707" max="8707" width="65.42578125" style="261" customWidth="1"/>
    <col min="8708" max="8708" width="11" style="261" customWidth="1"/>
    <col min="8709" max="8709" width="6.85546875" style="261" customWidth="1"/>
    <col min="8710" max="8710" width="16" style="261" customWidth="1"/>
    <col min="8711" max="8711" width="15.7109375" style="261" customWidth="1"/>
    <col min="8712" max="8712" width="14.42578125" style="261" customWidth="1"/>
    <col min="8713" max="8713" width="14.140625" style="261" customWidth="1"/>
    <col min="8714" max="8714" width="18.42578125" style="261" customWidth="1"/>
    <col min="8715" max="8715" width="15.5703125" style="261" customWidth="1"/>
    <col min="8716" max="8716" width="8.7109375" style="261" customWidth="1"/>
    <col min="8717" max="8718" width="11.5703125" style="261" bestFit="1" customWidth="1"/>
    <col min="8719" max="8719" width="12.85546875" style="261" bestFit="1" customWidth="1"/>
    <col min="8720" max="8723" width="20.140625" style="261" customWidth="1"/>
    <col min="8724" max="8726" width="12.140625" style="261" customWidth="1"/>
    <col min="8727" max="8728" width="20.140625" style="261" customWidth="1"/>
    <col min="8729" max="8960" width="10.140625" style="261"/>
    <col min="8961" max="8961" width="7.140625" style="261" customWidth="1"/>
    <col min="8962" max="8962" width="5" style="261" customWidth="1"/>
    <col min="8963" max="8963" width="65.42578125" style="261" customWidth="1"/>
    <col min="8964" max="8964" width="11" style="261" customWidth="1"/>
    <col min="8965" max="8965" width="6.85546875" style="261" customWidth="1"/>
    <col min="8966" max="8966" width="16" style="261" customWidth="1"/>
    <col min="8967" max="8967" width="15.7109375" style="261" customWidth="1"/>
    <col min="8968" max="8968" width="14.42578125" style="261" customWidth="1"/>
    <col min="8969" max="8969" width="14.140625" style="261" customWidth="1"/>
    <col min="8970" max="8970" width="18.42578125" style="261" customWidth="1"/>
    <col min="8971" max="8971" width="15.5703125" style="261" customWidth="1"/>
    <col min="8972" max="8972" width="8.7109375" style="261" customWidth="1"/>
    <col min="8973" max="8974" width="11.5703125" style="261" bestFit="1" customWidth="1"/>
    <col min="8975" max="8975" width="12.85546875" style="261" bestFit="1" customWidth="1"/>
    <col min="8976" max="8979" width="20.140625" style="261" customWidth="1"/>
    <col min="8980" max="8982" width="12.140625" style="261" customWidth="1"/>
    <col min="8983" max="8984" width="20.140625" style="261" customWidth="1"/>
    <col min="8985" max="9216" width="10.140625" style="261"/>
    <col min="9217" max="9217" width="7.140625" style="261" customWidth="1"/>
    <col min="9218" max="9218" width="5" style="261" customWidth="1"/>
    <col min="9219" max="9219" width="65.42578125" style="261" customWidth="1"/>
    <col min="9220" max="9220" width="11" style="261" customWidth="1"/>
    <col min="9221" max="9221" width="6.85546875" style="261" customWidth="1"/>
    <col min="9222" max="9222" width="16" style="261" customWidth="1"/>
    <col min="9223" max="9223" width="15.7109375" style="261" customWidth="1"/>
    <col min="9224" max="9224" width="14.42578125" style="261" customWidth="1"/>
    <col min="9225" max="9225" width="14.140625" style="261" customWidth="1"/>
    <col min="9226" max="9226" width="18.42578125" style="261" customWidth="1"/>
    <col min="9227" max="9227" width="15.5703125" style="261" customWidth="1"/>
    <col min="9228" max="9228" width="8.7109375" style="261" customWidth="1"/>
    <col min="9229" max="9230" width="11.5703125" style="261" bestFit="1" customWidth="1"/>
    <col min="9231" max="9231" width="12.85546875" style="261" bestFit="1" customWidth="1"/>
    <col min="9232" max="9235" width="20.140625" style="261" customWidth="1"/>
    <col min="9236" max="9238" width="12.140625" style="261" customWidth="1"/>
    <col min="9239" max="9240" width="20.140625" style="261" customWidth="1"/>
    <col min="9241" max="9472" width="10.140625" style="261"/>
    <col min="9473" max="9473" width="7.140625" style="261" customWidth="1"/>
    <col min="9474" max="9474" width="5" style="261" customWidth="1"/>
    <col min="9475" max="9475" width="65.42578125" style="261" customWidth="1"/>
    <col min="9476" max="9476" width="11" style="261" customWidth="1"/>
    <col min="9477" max="9477" width="6.85546875" style="261" customWidth="1"/>
    <col min="9478" max="9478" width="16" style="261" customWidth="1"/>
    <col min="9479" max="9479" width="15.7109375" style="261" customWidth="1"/>
    <col min="9480" max="9480" width="14.42578125" style="261" customWidth="1"/>
    <col min="9481" max="9481" width="14.140625" style="261" customWidth="1"/>
    <col min="9482" max="9482" width="18.42578125" style="261" customWidth="1"/>
    <col min="9483" max="9483" width="15.5703125" style="261" customWidth="1"/>
    <col min="9484" max="9484" width="8.7109375" style="261" customWidth="1"/>
    <col min="9485" max="9486" width="11.5703125" style="261" bestFit="1" customWidth="1"/>
    <col min="9487" max="9487" width="12.85546875" style="261" bestFit="1" customWidth="1"/>
    <col min="9488" max="9491" width="20.140625" style="261" customWidth="1"/>
    <col min="9492" max="9494" width="12.140625" style="261" customWidth="1"/>
    <col min="9495" max="9496" width="20.140625" style="261" customWidth="1"/>
    <col min="9497" max="9728" width="10.140625" style="261"/>
    <col min="9729" max="9729" width="7.140625" style="261" customWidth="1"/>
    <col min="9730" max="9730" width="5" style="261" customWidth="1"/>
    <col min="9731" max="9731" width="65.42578125" style="261" customWidth="1"/>
    <col min="9732" max="9732" width="11" style="261" customWidth="1"/>
    <col min="9733" max="9733" width="6.85546875" style="261" customWidth="1"/>
    <col min="9734" max="9734" width="16" style="261" customWidth="1"/>
    <col min="9735" max="9735" width="15.7109375" style="261" customWidth="1"/>
    <col min="9736" max="9736" width="14.42578125" style="261" customWidth="1"/>
    <col min="9737" max="9737" width="14.140625" style="261" customWidth="1"/>
    <col min="9738" max="9738" width="18.42578125" style="261" customWidth="1"/>
    <col min="9739" max="9739" width="15.5703125" style="261" customWidth="1"/>
    <col min="9740" max="9740" width="8.7109375" style="261" customWidth="1"/>
    <col min="9741" max="9742" width="11.5703125" style="261" bestFit="1" customWidth="1"/>
    <col min="9743" max="9743" width="12.85546875" style="261" bestFit="1" customWidth="1"/>
    <col min="9744" max="9747" width="20.140625" style="261" customWidth="1"/>
    <col min="9748" max="9750" width="12.140625" style="261" customWidth="1"/>
    <col min="9751" max="9752" width="20.140625" style="261" customWidth="1"/>
    <col min="9753" max="9984" width="10.140625" style="261"/>
    <col min="9985" max="9985" width="7.140625" style="261" customWidth="1"/>
    <col min="9986" max="9986" width="5" style="261" customWidth="1"/>
    <col min="9987" max="9987" width="65.42578125" style="261" customWidth="1"/>
    <col min="9988" max="9988" width="11" style="261" customWidth="1"/>
    <col min="9989" max="9989" width="6.85546875" style="261" customWidth="1"/>
    <col min="9990" max="9990" width="16" style="261" customWidth="1"/>
    <col min="9991" max="9991" width="15.7109375" style="261" customWidth="1"/>
    <col min="9992" max="9992" width="14.42578125" style="261" customWidth="1"/>
    <col min="9993" max="9993" width="14.140625" style="261" customWidth="1"/>
    <col min="9994" max="9994" width="18.42578125" style="261" customWidth="1"/>
    <col min="9995" max="9995" width="15.5703125" style="261" customWidth="1"/>
    <col min="9996" max="9996" width="8.7109375" style="261" customWidth="1"/>
    <col min="9997" max="9998" width="11.5703125" style="261" bestFit="1" customWidth="1"/>
    <col min="9999" max="9999" width="12.85546875" style="261" bestFit="1" customWidth="1"/>
    <col min="10000" max="10003" width="20.140625" style="261" customWidth="1"/>
    <col min="10004" max="10006" width="12.140625" style="261" customWidth="1"/>
    <col min="10007" max="10008" width="20.140625" style="261" customWidth="1"/>
    <col min="10009" max="10240" width="10.140625" style="261"/>
    <col min="10241" max="10241" width="7.140625" style="261" customWidth="1"/>
    <col min="10242" max="10242" width="5" style="261" customWidth="1"/>
    <col min="10243" max="10243" width="65.42578125" style="261" customWidth="1"/>
    <col min="10244" max="10244" width="11" style="261" customWidth="1"/>
    <col min="10245" max="10245" width="6.85546875" style="261" customWidth="1"/>
    <col min="10246" max="10246" width="16" style="261" customWidth="1"/>
    <col min="10247" max="10247" width="15.7109375" style="261" customWidth="1"/>
    <col min="10248" max="10248" width="14.42578125" style="261" customWidth="1"/>
    <col min="10249" max="10249" width="14.140625" style="261" customWidth="1"/>
    <col min="10250" max="10250" width="18.42578125" style="261" customWidth="1"/>
    <col min="10251" max="10251" width="15.5703125" style="261" customWidth="1"/>
    <col min="10252" max="10252" width="8.7109375" style="261" customWidth="1"/>
    <col min="10253" max="10254" width="11.5703125" style="261" bestFit="1" customWidth="1"/>
    <col min="10255" max="10255" width="12.85546875" style="261" bestFit="1" customWidth="1"/>
    <col min="10256" max="10259" width="20.140625" style="261" customWidth="1"/>
    <col min="10260" max="10262" width="12.140625" style="261" customWidth="1"/>
    <col min="10263" max="10264" width="20.140625" style="261" customWidth="1"/>
    <col min="10265" max="10496" width="10.140625" style="261"/>
    <col min="10497" max="10497" width="7.140625" style="261" customWidth="1"/>
    <col min="10498" max="10498" width="5" style="261" customWidth="1"/>
    <col min="10499" max="10499" width="65.42578125" style="261" customWidth="1"/>
    <col min="10500" max="10500" width="11" style="261" customWidth="1"/>
    <col min="10501" max="10501" width="6.85546875" style="261" customWidth="1"/>
    <col min="10502" max="10502" width="16" style="261" customWidth="1"/>
    <col min="10503" max="10503" width="15.7109375" style="261" customWidth="1"/>
    <col min="10504" max="10504" width="14.42578125" style="261" customWidth="1"/>
    <col min="10505" max="10505" width="14.140625" style="261" customWidth="1"/>
    <col min="10506" max="10506" width="18.42578125" style="261" customWidth="1"/>
    <col min="10507" max="10507" width="15.5703125" style="261" customWidth="1"/>
    <col min="10508" max="10508" width="8.7109375" style="261" customWidth="1"/>
    <col min="10509" max="10510" width="11.5703125" style="261" bestFit="1" customWidth="1"/>
    <col min="10511" max="10511" width="12.85546875" style="261" bestFit="1" customWidth="1"/>
    <col min="10512" max="10515" width="20.140625" style="261" customWidth="1"/>
    <col min="10516" max="10518" width="12.140625" style="261" customWidth="1"/>
    <col min="10519" max="10520" width="20.140625" style="261" customWidth="1"/>
    <col min="10521" max="10752" width="10.140625" style="261"/>
    <col min="10753" max="10753" width="7.140625" style="261" customWidth="1"/>
    <col min="10754" max="10754" width="5" style="261" customWidth="1"/>
    <col min="10755" max="10755" width="65.42578125" style="261" customWidth="1"/>
    <col min="10756" max="10756" width="11" style="261" customWidth="1"/>
    <col min="10757" max="10757" width="6.85546875" style="261" customWidth="1"/>
    <col min="10758" max="10758" width="16" style="261" customWidth="1"/>
    <col min="10759" max="10759" width="15.7109375" style="261" customWidth="1"/>
    <col min="10760" max="10760" width="14.42578125" style="261" customWidth="1"/>
    <col min="10761" max="10761" width="14.140625" style="261" customWidth="1"/>
    <col min="10762" max="10762" width="18.42578125" style="261" customWidth="1"/>
    <col min="10763" max="10763" width="15.5703125" style="261" customWidth="1"/>
    <col min="10764" max="10764" width="8.7109375" style="261" customWidth="1"/>
    <col min="10765" max="10766" width="11.5703125" style="261" bestFit="1" customWidth="1"/>
    <col min="10767" max="10767" width="12.85546875" style="261" bestFit="1" customWidth="1"/>
    <col min="10768" max="10771" width="20.140625" style="261" customWidth="1"/>
    <col min="10772" max="10774" width="12.140625" style="261" customWidth="1"/>
    <col min="10775" max="10776" width="20.140625" style="261" customWidth="1"/>
    <col min="10777" max="11008" width="10.140625" style="261"/>
    <col min="11009" max="11009" width="7.140625" style="261" customWidth="1"/>
    <col min="11010" max="11010" width="5" style="261" customWidth="1"/>
    <col min="11011" max="11011" width="65.42578125" style="261" customWidth="1"/>
    <col min="11012" max="11012" width="11" style="261" customWidth="1"/>
    <col min="11013" max="11013" width="6.85546875" style="261" customWidth="1"/>
    <col min="11014" max="11014" width="16" style="261" customWidth="1"/>
    <col min="11015" max="11015" width="15.7109375" style="261" customWidth="1"/>
    <col min="11016" max="11016" width="14.42578125" style="261" customWidth="1"/>
    <col min="11017" max="11017" width="14.140625" style="261" customWidth="1"/>
    <col min="11018" max="11018" width="18.42578125" style="261" customWidth="1"/>
    <col min="11019" max="11019" width="15.5703125" style="261" customWidth="1"/>
    <col min="11020" max="11020" width="8.7109375" style="261" customWidth="1"/>
    <col min="11021" max="11022" width="11.5703125" style="261" bestFit="1" customWidth="1"/>
    <col min="11023" max="11023" width="12.85546875" style="261" bestFit="1" customWidth="1"/>
    <col min="11024" max="11027" width="20.140625" style="261" customWidth="1"/>
    <col min="11028" max="11030" width="12.140625" style="261" customWidth="1"/>
    <col min="11031" max="11032" width="20.140625" style="261" customWidth="1"/>
    <col min="11033" max="11264" width="10.140625" style="261"/>
    <col min="11265" max="11265" width="7.140625" style="261" customWidth="1"/>
    <col min="11266" max="11266" width="5" style="261" customWidth="1"/>
    <col min="11267" max="11267" width="65.42578125" style="261" customWidth="1"/>
    <col min="11268" max="11268" width="11" style="261" customWidth="1"/>
    <col min="11269" max="11269" width="6.85546875" style="261" customWidth="1"/>
    <col min="11270" max="11270" width="16" style="261" customWidth="1"/>
    <col min="11271" max="11271" width="15.7109375" style="261" customWidth="1"/>
    <col min="11272" max="11272" width="14.42578125" style="261" customWidth="1"/>
    <col min="11273" max="11273" width="14.140625" style="261" customWidth="1"/>
    <col min="11274" max="11274" width="18.42578125" style="261" customWidth="1"/>
    <col min="11275" max="11275" width="15.5703125" style="261" customWidth="1"/>
    <col min="11276" max="11276" width="8.7109375" style="261" customWidth="1"/>
    <col min="11277" max="11278" width="11.5703125" style="261" bestFit="1" customWidth="1"/>
    <col min="11279" max="11279" width="12.85546875" style="261" bestFit="1" customWidth="1"/>
    <col min="11280" max="11283" width="20.140625" style="261" customWidth="1"/>
    <col min="11284" max="11286" width="12.140625" style="261" customWidth="1"/>
    <col min="11287" max="11288" width="20.140625" style="261" customWidth="1"/>
    <col min="11289" max="11520" width="10.140625" style="261"/>
    <col min="11521" max="11521" width="7.140625" style="261" customWidth="1"/>
    <col min="11522" max="11522" width="5" style="261" customWidth="1"/>
    <col min="11523" max="11523" width="65.42578125" style="261" customWidth="1"/>
    <col min="11524" max="11524" width="11" style="261" customWidth="1"/>
    <col min="11525" max="11525" width="6.85546875" style="261" customWidth="1"/>
    <col min="11526" max="11526" width="16" style="261" customWidth="1"/>
    <col min="11527" max="11527" width="15.7109375" style="261" customWidth="1"/>
    <col min="11528" max="11528" width="14.42578125" style="261" customWidth="1"/>
    <col min="11529" max="11529" width="14.140625" style="261" customWidth="1"/>
    <col min="11530" max="11530" width="18.42578125" style="261" customWidth="1"/>
    <col min="11531" max="11531" width="15.5703125" style="261" customWidth="1"/>
    <col min="11532" max="11532" width="8.7109375" style="261" customWidth="1"/>
    <col min="11533" max="11534" width="11.5703125" style="261" bestFit="1" customWidth="1"/>
    <col min="11535" max="11535" width="12.85546875" style="261" bestFit="1" customWidth="1"/>
    <col min="11536" max="11539" width="20.140625" style="261" customWidth="1"/>
    <col min="11540" max="11542" width="12.140625" style="261" customWidth="1"/>
    <col min="11543" max="11544" width="20.140625" style="261" customWidth="1"/>
    <col min="11545" max="11776" width="10.140625" style="261"/>
    <col min="11777" max="11777" width="7.140625" style="261" customWidth="1"/>
    <col min="11778" max="11778" width="5" style="261" customWidth="1"/>
    <col min="11779" max="11779" width="65.42578125" style="261" customWidth="1"/>
    <col min="11780" max="11780" width="11" style="261" customWidth="1"/>
    <col min="11781" max="11781" width="6.85546875" style="261" customWidth="1"/>
    <col min="11782" max="11782" width="16" style="261" customWidth="1"/>
    <col min="11783" max="11783" width="15.7109375" style="261" customWidth="1"/>
    <col min="11784" max="11784" width="14.42578125" style="261" customWidth="1"/>
    <col min="11785" max="11785" width="14.140625" style="261" customWidth="1"/>
    <col min="11786" max="11786" width="18.42578125" style="261" customWidth="1"/>
    <col min="11787" max="11787" width="15.5703125" style="261" customWidth="1"/>
    <col min="11788" max="11788" width="8.7109375" style="261" customWidth="1"/>
    <col min="11789" max="11790" width="11.5703125" style="261" bestFit="1" customWidth="1"/>
    <col min="11791" max="11791" width="12.85546875" style="261" bestFit="1" customWidth="1"/>
    <col min="11792" max="11795" width="20.140625" style="261" customWidth="1"/>
    <col min="11796" max="11798" width="12.140625" style="261" customWidth="1"/>
    <col min="11799" max="11800" width="20.140625" style="261" customWidth="1"/>
    <col min="11801" max="12032" width="10.140625" style="261"/>
    <col min="12033" max="12033" width="7.140625" style="261" customWidth="1"/>
    <col min="12034" max="12034" width="5" style="261" customWidth="1"/>
    <col min="12035" max="12035" width="65.42578125" style="261" customWidth="1"/>
    <col min="12036" max="12036" width="11" style="261" customWidth="1"/>
    <col min="12037" max="12037" width="6.85546875" style="261" customWidth="1"/>
    <col min="12038" max="12038" width="16" style="261" customWidth="1"/>
    <col min="12039" max="12039" width="15.7109375" style="261" customWidth="1"/>
    <col min="12040" max="12040" width="14.42578125" style="261" customWidth="1"/>
    <col min="12041" max="12041" width="14.140625" style="261" customWidth="1"/>
    <col min="12042" max="12042" width="18.42578125" style="261" customWidth="1"/>
    <col min="12043" max="12043" width="15.5703125" style="261" customWidth="1"/>
    <col min="12044" max="12044" width="8.7109375" style="261" customWidth="1"/>
    <col min="12045" max="12046" width="11.5703125" style="261" bestFit="1" customWidth="1"/>
    <col min="12047" max="12047" width="12.85546875" style="261" bestFit="1" customWidth="1"/>
    <col min="12048" max="12051" width="20.140625" style="261" customWidth="1"/>
    <col min="12052" max="12054" width="12.140625" style="261" customWidth="1"/>
    <col min="12055" max="12056" width="20.140625" style="261" customWidth="1"/>
    <col min="12057" max="12288" width="10.140625" style="261"/>
    <col min="12289" max="12289" width="7.140625" style="261" customWidth="1"/>
    <col min="12290" max="12290" width="5" style="261" customWidth="1"/>
    <col min="12291" max="12291" width="65.42578125" style="261" customWidth="1"/>
    <col min="12292" max="12292" width="11" style="261" customWidth="1"/>
    <col min="12293" max="12293" width="6.85546875" style="261" customWidth="1"/>
    <col min="12294" max="12294" width="16" style="261" customWidth="1"/>
    <col min="12295" max="12295" width="15.7109375" style="261" customWidth="1"/>
    <col min="12296" max="12296" width="14.42578125" style="261" customWidth="1"/>
    <col min="12297" max="12297" width="14.140625" style="261" customWidth="1"/>
    <col min="12298" max="12298" width="18.42578125" style="261" customWidth="1"/>
    <col min="12299" max="12299" width="15.5703125" style="261" customWidth="1"/>
    <col min="12300" max="12300" width="8.7109375" style="261" customWidth="1"/>
    <col min="12301" max="12302" width="11.5703125" style="261" bestFit="1" customWidth="1"/>
    <col min="12303" max="12303" width="12.85546875" style="261" bestFit="1" customWidth="1"/>
    <col min="12304" max="12307" width="20.140625" style="261" customWidth="1"/>
    <col min="12308" max="12310" width="12.140625" style="261" customWidth="1"/>
    <col min="12311" max="12312" width="20.140625" style="261" customWidth="1"/>
    <col min="12313" max="12544" width="10.140625" style="261"/>
    <col min="12545" max="12545" width="7.140625" style="261" customWidth="1"/>
    <col min="12546" max="12546" width="5" style="261" customWidth="1"/>
    <col min="12547" max="12547" width="65.42578125" style="261" customWidth="1"/>
    <col min="12548" max="12548" width="11" style="261" customWidth="1"/>
    <col min="12549" max="12549" width="6.85546875" style="261" customWidth="1"/>
    <col min="12550" max="12550" width="16" style="261" customWidth="1"/>
    <col min="12551" max="12551" width="15.7109375" style="261" customWidth="1"/>
    <col min="12552" max="12552" width="14.42578125" style="261" customWidth="1"/>
    <col min="12553" max="12553" width="14.140625" style="261" customWidth="1"/>
    <col min="12554" max="12554" width="18.42578125" style="261" customWidth="1"/>
    <col min="12555" max="12555" width="15.5703125" style="261" customWidth="1"/>
    <col min="12556" max="12556" width="8.7109375" style="261" customWidth="1"/>
    <col min="12557" max="12558" width="11.5703125" style="261" bestFit="1" customWidth="1"/>
    <col min="12559" max="12559" width="12.85546875" style="261" bestFit="1" customWidth="1"/>
    <col min="12560" max="12563" width="20.140625" style="261" customWidth="1"/>
    <col min="12564" max="12566" width="12.140625" style="261" customWidth="1"/>
    <col min="12567" max="12568" width="20.140625" style="261" customWidth="1"/>
    <col min="12569" max="12800" width="10.140625" style="261"/>
    <col min="12801" max="12801" width="7.140625" style="261" customWidth="1"/>
    <col min="12802" max="12802" width="5" style="261" customWidth="1"/>
    <col min="12803" max="12803" width="65.42578125" style="261" customWidth="1"/>
    <col min="12804" max="12804" width="11" style="261" customWidth="1"/>
    <col min="12805" max="12805" width="6.85546875" style="261" customWidth="1"/>
    <col min="12806" max="12806" width="16" style="261" customWidth="1"/>
    <col min="12807" max="12807" width="15.7109375" style="261" customWidth="1"/>
    <col min="12808" max="12808" width="14.42578125" style="261" customWidth="1"/>
    <col min="12809" max="12809" width="14.140625" style="261" customWidth="1"/>
    <col min="12810" max="12810" width="18.42578125" style="261" customWidth="1"/>
    <col min="12811" max="12811" width="15.5703125" style="261" customWidth="1"/>
    <col min="12812" max="12812" width="8.7109375" style="261" customWidth="1"/>
    <col min="12813" max="12814" width="11.5703125" style="261" bestFit="1" customWidth="1"/>
    <col min="12815" max="12815" width="12.85546875" style="261" bestFit="1" customWidth="1"/>
    <col min="12816" max="12819" width="20.140625" style="261" customWidth="1"/>
    <col min="12820" max="12822" width="12.140625" style="261" customWidth="1"/>
    <col min="12823" max="12824" width="20.140625" style="261" customWidth="1"/>
    <col min="12825" max="13056" width="10.140625" style="261"/>
    <col min="13057" max="13057" width="7.140625" style="261" customWidth="1"/>
    <col min="13058" max="13058" width="5" style="261" customWidth="1"/>
    <col min="13059" max="13059" width="65.42578125" style="261" customWidth="1"/>
    <col min="13060" max="13060" width="11" style="261" customWidth="1"/>
    <col min="13061" max="13061" width="6.85546875" style="261" customWidth="1"/>
    <col min="13062" max="13062" width="16" style="261" customWidth="1"/>
    <col min="13063" max="13063" width="15.7109375" style="261" customWidth="1"/>
    <col min="13064" max="13064" width="14.42578125" style="261" customWidth="1"/>
    <col min="13065" max="13065" width="14.140625" style="261" customWidth="1"/>
    <col min="13066" max="13066" width="18.42578125" style="261" customWidth="1"/>
    <col min="13067" max="13067" width="15.5703125" style="261" customWidth="1"/>
    <col min="13068" max="13068" width="8.7109375" style="261" customWidth="1"/>
    <col min="13069" max="13070" width="11.5703125" style="261" bestFit="1" customWidth="1"/>
    <col min="13071" max="13071" width="12.85546875" style="261" bestFit="1" customWidth="1"/>
    <col min="13072" max="13075" width="20.140625" style="261" customWidth="1"/>
    <col min="13076" max="13078" width="12.140625" style="261" customWidth="1"/>
    <col min="13079" max="13080" width="20.140625" style="261" customWidth="1"/>
    <col min="13081" max="13312" width="10.140625" style="261"/>
    <col min="13313" max="13313" width="7.140625" style="261" customWidth="1"/>
    <col min="13314" max="13314" width="5" style="261" customWidth="1"/>
    <col min="13315" max="13315" width="65.42578125" style="261" customWidth="1"/>
    <col min="13316" max="13316" width="11" style="261" customWidth="1"/>
    <col min="13317" max="13317" width="6.85546875" style="261" customWidth="1"/>
    <col min="13318" max="13318" width="16" style="261" customWidth="1"/>
    <col min="13319" max="13319" width="15.7109375" style="261" customWidth="1"/>
    <col min="13320" max="13320" width="14.42578125" style="261" customWidth="1"/>
    <col min="13321" max="13321" width="14.140625" style="261" customWidth="1"/>
    <col min="13322" max="13322" width="18.42578125" style="261" customWidth="1"/>
    <col min="13323" max="13323" width="15.5703125" style="261" customWidth="1"/>
    <col min="13324" max="13324" width="8.7109375" style="261" customWidth="1"/>
    <col min="13325" max="13326" width="11.5703125" style="261" bestFit="1" customWidth="1"/>
    <col min="13327" max="13327" width="12.85546875" style="261" bestFit="1" customWidth="1"/>
    <col min="13328" max="13331" width="20.140625" style="261" customWidth="1"/>
    <col min="13332" max="13334" width="12.140625" style="261" customWidth="1"/>
    <col min="13335" max="13336" width="20.140625" style="261" customWidth="1"/>
    <col min="13337" max="13568" width="10.140625" style="261"/>
    <col min="13569" max="13569" width="7.140625" style="261" customWidth="1"/>
    <col min="13570" max="13570" width="5" style="261" customWidth="1"/>
    <col min="13571" max="13571" width="65.42578125" style="261" customWidth="1"/>
    <col min="13572" max="13572" width="11" style="261" customWidth="1"/>
    <col min="13573" max="13573" width="6.85546875" style="261" customWidth="1"/>
    <col min="13574" max="13574" width="16" style="261" customWidth="1"/>
    <col min="13575" max="13575" width="15.7109375" style="261" customWidth="1"/>
    <col min="13576" max="13576" width="14.42578125" style="261" customWidth="1"/>
    <col min="13577" max="13577" width="14.140625" style="261" customWidth="1"/>
    <col min="13578" max="13578" width="18.42578125" style="261" customWidth="1"/>
    <col min="13579" max="13579" width="15.5703125" style="261" customWidth="1"/>
    <col min="13580" max="13580" width="8.7109375" style="261" customWidth="1"/>
    <col min="13581" max="13582" width="11.5703125" style="261" bestFit="1" customWidth="1"/>
    <col min="13583" max="13583" width="12.85546875" style="261" bestFit="1" customWidth="1"/>
    <col min="13584" max="13587" width="20.140625" style="261" customWidth="1"/>
    <col min="13588" max="13590" width="12.140625" style="261" customWidth="1"/>
    <col min="13591" max="13592" width="20.140625" style="261" customWidth="1"/>
    <col min="13593" max="13824" width="10.140625" style="261"/>
    <col min="13825" max="13825" width="7.140625" style="261" customWidth="1"/>
    <col min="13826" max="13826" width="5" style="261" customWidth="1"/>
    <col min="13827" max="13827" width="65.42578125" style="261" customWidth="1"/>
    <col min="13828" max="13828" width="11" style="261" customWidth="1"/>
    <col min="13829" max="13829" width="6.85546875" style="261" customWidth="1"/>
    <col min="13830" max="13830" width="16" style="261" customWidth="1"/>
    <col min="13831" max="13831" width="15.7109375" style="261" customWidth="1"/>
    <col min="13832" max="13832" width="14.42578125" style="261" customWidth="1"/>
    <col min="13833" max="13833" width="14.140625" style="261" customWidth="1"/>
    <col min="13834" max="13834" width="18.42578125" style="261" customWidth="1"/>
    <col min="13835" max="13835" width="15.5703125" style="261" customWidth="1"/>
    <col min="13836" max="13836" width="8.7109375" style="261" customWidth="1"/>
    <col min="13837" max="13838" width="11.5703125" style="261" bestFit="1" customWidth="1"/>
    <col min="13839" max="13839" width="12.85546875" style="261" bestFit="1" customWidth="1"/>
    <col min="13840" max="13843" width="20.140625" style="261" customWidth="1"/>
    <col min="13844" max="13846" width="12.140625" style="261" customWidth="1"/>
    <col min="13847" max="13848" width="20.140625" style="261" customWidth="1"/>
    <col min="13849" max="14080" width="10.140625" style="261"/>
    <col min="14081" max="14081" width="7.140625" style="261" customWidth="1"/>
    <col min="14082" max="14082" width="5" style="261" customWidth="1"/>
    <col min="14083" max="14083" width="65.42578125" style="261" customWidth="1"/>
    <col min="14084" max="14084" width="11" style="261" customWidth="1"/>
    <col min="14085" max="14085" width="6.85546875" style="261" customWidth="1"/>
    <col min="14086" max="14086" width="16" style="261" customWidth="1"/>
    <col min="14087" max="14087" width="15.7109375" style="261" customWidth="1"/>
    <col min="14088" max="14088" width="14.42578125" style="261" customWidth="1"/>
    <col min="14089" max="14089" width="14.140625" style="261" customWidth="1"/>
    <col min="14090" max="14090" width="18.42578125" style="261" customWidth="1"/>
    <col min="14091" max="14091" width="15.5703125" style="261" customWidth="1"/>
    <col min="14092" max="14092" width="8.7109375" style="261" customWidth="1"/>
    <col min="14093" max="14094" width="11.5703125" style="261" bestFit="1" customWidth="1"/>
    <col min="14095" max="14095" width="12.85546875" style="261" bestFit="1" customWidth="1"/>
    <col min="14096" max="14099" width="20.140625" style="261" customWidth="1"/>
    <col min="14100" max="14102" width="12.140625" style="261" customWidth="1"/>
    <col min="14103" max="14104" width="20.140625" style="261" customWidth="1"/>
    <col min="14105" max="14336" width="10.140625" style="261"/>
    <col min="14337" max="14337" width="7.140625" style="261" customWidth="1"/>
    <col min="14338" max="14338" width="5" style="261" customWidth="1"/>
    <col min="14339" max="14339" width="65.42578125" style="261" customWidth="1"/>
    <col min="14340" max="14340" width="11" style="261" customWidth="1"/>
    <col min="14341" max="14341" width="6.85546875" style="261" customWidth="1"/>
    <col min="14342" max="14342" width="16" style="261" customWidth="1"/>
    <col min="14343" max="14343" width="15.7109375" style="261" customWidth="1"/>
    <col min="14344" max="14344" width="14.42578125" style="261" customWidth="1"/>
    <col min="14345" max="14345" width="14.140625" style="261" customWidth="1"/>
    <col min="14346" max="14346" width="18.42578125" style="261" customWidth="1"/>
    <col min="14347" max="14347" width="15.5703125" style="261" customWidth="1"/>
    <col min="14348" max="14348" width="8.7109375" style="261" customWidth="1"/>
    <col min="14349" max="14350" width="11.5703125" style="261" bestFit="1" customWidth="1"/>
    <col min="14351" max="14351" width="12.85546875" style="261" bestFit="1" customWidth="1"/>
    <col min="14352" max="14355" width="20.140625" style="261" customWidth="1"/>
    <col min="14356" max="14358" width="12.140625" style="261" customWidth="1"/>
    <col min="14359" max="14360" width="20.140625" style="261" customWidth="1"/>
    <col min="14361" max="14592" width="10.140625" style="261"/>
    <col min="14593" max="14593" width="7.140625" style="261" customWidth="1"/>
    <col min="14594" max="14594" width="5" style="261" customWidth="1"/>
    <col min="14595" max="14595" width="65.42578125" style="261" customWidth="1"/>
    <col min="14596" max="14596" width="11" style="261" customWidth="1"/>
    <col min="14597" max="14597" width="6.85546875" style="261" customWidth="1"/>
    <col min="14598" max="14598" width="16" style="261" customWidth="1"/>
    <col min="14599" max="14599" width="15.7109375" style="261" customWidth="1"/>
    <col min="14600" max="14600" width="14.42578125" style="261" customWidth="1"/>
    <col min="14601" max="14601" width="14.140625" style="261" customWidth="1"/>
    <col min="14602" max="14602" width="18.42578125" style="261" customWidth="1"/>
    <col min="14603" max="14603" width="15.5703125" style="261" customWidth="1"/>
    <col min="14604" max="14604" width="8.7109375" style="261" customWidth="1"/>
    <col min="14605" max="14606" width="11.5703125" style="261" bestFit="1" customWidth="1"/>
    <col min="14607" max="14607" width="12.85546875" style="261" bestFit="1" customWidth="1"/>
    <col min="14608" max="14611" width="20.140625" style="261" customWidth="1"/>
    <col min="14612" max="14614" width="12.140625" style="261" customWidth="1"/>
    <col min="14615" max="14616" width="20.140625" style="261" customWidth="1"/>
    <col min="14617" max="14848" width="10.140625" style="261"/>
    <col min="14849" max="14849" width="7.140625" style="261" customWidth="1"/>
    <col min="14850" max="14850" width="5" style="261" customWidth="1"/>
    <col min="14851" max="14851" width="65.42578125" style="261" customWidth="1"/>
    <col min="14852" max="14852" width="11" style="261" customWidth="1"/>
    <col min="14853" max="14853" width="6.85546875" style="261" customWidth="1"/>
    <col min="14854" max="14854" width="16" style="261" customWidth="1"/>
    <col min="14855" max="14855" width="15.7109375" style="261" customWidth="1"/>
    <col min="14856" max="14856" width="14.42578125" style="261" customWidth="1"/>
    <col min="14857" max="14857" width="14.140625" style="261" customWidth="1"/>
    <col min="14858" max="14858" width="18.42578125" style="261" customWidth="1"/>
    <col min="14859" max="14859" width="15.5703125" style="261" customWidth="1"/>
    <col min="14860" max="14860" width="8.7109375" style="261" customWidth="1"/>
    <col min="14861" max="14862" width="11.5703125" style="261" bestFit="1" customWidth="1"/>
    <col min="14863" max="14863" width="12.85546875" style="261" bestFit="1" customWidth="1"/>
    <col min="14864" max="14867" width="20.140625" style="261" customWidth="1"/>
    <col min="14868" max="14870" width="12.140625" style="261" customWidth="1"/>
    <col min="14871" max="14872" width="20.140625" style="261" customWidth="1"/>
    <col min="14873" max="15104" width="10.140625" style="261"/>
    <col min="15105" max="15105" width="7.140625" style="261" customWidth="1"/>
    <col min="15106" max="15106" width="5" style="261" customWidth="1"/>
    <col min="15107" max="15107" width="65.42578125" style="261" customWidth="1"/>
    <col min="15108" max="15108" width="11" style="261" customWidth="1"/>
    <col min="15109" max="15109" width="6.85546875" style="261" customWidth="1"/>
    <col min="15110" max="15110" width="16" style="261" customWidth="1"/>
    <col min="15111" max="15111" width="15.7109375" style="261" customWidth="1"/>
    <col min="15112" max="15112" width="14.42578125" style="261" customWidth="1"/>
    <col min="15113" max="15113" width="14.140625" style="261" customWidth="1"/>
    <col min="15114" max="15114" width="18.42578125" style="261" customWidth="1"/>
    <col min="15115" max="15115" width="15.5703125" style="261" customWidth="1"/>
    <col min="15116" max="15116" width="8.7109375" style="261" customWidth="1"/>
    <col min="15117" max="15118" width="11.5703125" style="261" bestFit="1" customWidth="1"/>
    <col min="15119" max="15119" width="12.85546875" style="261" bestFit="1" customWidth="1"/>
    <col min="15120" max="15123" width="20.140625" style="261" customWidth="1"/>
    <col min="15124" max="15126" width="12.140625" style="261" customWidth="1"/>
    <col min="15127" max="15128" width="20.140625" style="261" customWidth="1"/>
    <col min="15129" max="15360" width="10.140625" style="261"/>
    <col min="15361" max="15361" width="7.140625" style="261" customWidth="1"/>
    <col min="15362" max="15362" width="5" style="261" customWidth="1"/>
    <col min="15363" max="15363" width="65.42578125" style="261" customWidth="1"/>
    <col min="15364" max="15364" width="11" style="261" customWidth="1"/>
    <col min="15365" max="15365" width="6.85546875" style="261" customWidth="1"/>
    <col min="15366" max="15366" width="16" style="261" customWidth="1"/>
    <col min="15367" max="15367" width="15.7109375" style="261" customWidth="1"/>
    <col min="15368" max="15368" width="14.42578125" style="261" customWidth="1"/>
    <col min="15369" max="15369" width="14.140625" style="261" customWidth="1"/>
    <col min="15370" max="15370" width="18.42578125" style="261" customWidth="1"/>
    <col min="15371" max="15371" width="15.5703125" style="261" customWidth="1"/>
    <col min="15372" max="15372" width="8.7109375" style="261" customWidth="1"/>
    <col min="15373" max="15374" width="11.5703125" style="261" bestFit="1" customWidth="1"/>
    <col min="15375" max="15375" width="12.85546875" style="261" bestFit="1" customWidth="1"/>
    <col min="15376" max="15379" width="20.140625" style="261" customWidth="1"/>
    <col min="15380" max="15382" width="12.140625" style="261" customWidth="1"/>
    <col min="15383" max="15384" width="20.140625" style="261" customWidth="1"/>
    <col min="15385" max="15616" width="10.140625" style="261"/>
    <col min="15617" max="15617" width="7.140625" style="261" customWidth="1"/>
    <col min="15618" max="15618" width="5" style="261" customWidth="1"/>
    <col min="15619" max="15619" width="65.42578125" style="261" customWidth="1"/>
    <col min="15620" max="15620" width="11" style="261" customWidth="1"/>
    <col min="15621" max="15621" width="6.85546875" style="261" customWidth="1"/>
    <col min="15622" max="15622" width="16" style="261" customWidth="1"/>
    <col min="15623" max="15623" width="15.7109375" style="261" customWidth="1"/>
    <col min="15624" max="15624" width="14.42578125" style="261" customWidth="1"/>
    <col min="15625" max="15625" width="14.140625" style="261" customWidth="1"/>
    <col min="15626" max="15626" width="18.42578125" style="261" customWidth="1"/>
    <col min="15627" max="15627" width="15.5703125" style="261" customWidth="1"/>
    <col min="15628" max="15628" width="8.7109375" style="261" customWidth="1"/>
    <col min="15629" max="15630" width="11.5703125" style="261" bestFit="1" customWidth="1"/>
    <col min="15631" max="15631" width="12.85546875" style="261" bestFit="1" customWidth="1"/>
    <col min="15632" max="15635" width="20.140625" style="261" customWidth="1"/>
    <col min="15636" max="15638" width="12.140625" style="261" customWidth="1"/>
    <col min="15639" max="15640" width="20.140625" style="261" customWidth="1"/>
    <col min="15641" max="15872" width="10.140625" style="261"/>
    <col min="15873" max="15873" width="7.140625" style="261" customWidth="1"/>
    <col min="15874" max="15874" width="5" style="261" customWidth="1"/>
    <col min="15875" max="15875" width="65.42578125" style="261" customWidth="1"/>
    <col min="15876" max="15876" width="11" style="261" customWidth="1"/>
    <col min="15877" max="15877" width="6.85546875" style="261" customWidth="1"/>
    <col min="15878" max="15878" width="16" style="261" customWidth="1"/>
    <col min="15879" max="15879" width="15.7109375" style="261" customWidth="1"/>
    <col min="15880" max="15880" width="14.42578125" style="261" customWidth="1"/>
    <col min="15881" max="15881" width="14.140625" style="261" customWidth="1"/>
    <col min="15882" max="15882" width="18.42578125" style="261" customWidth="1"/>
    <col min="15883" max="15883" width="15.5703125" style="261" customWidth="1"/>
    <col min="15884" max="15884" width="8.7109375" style="261" customWidth="1"/>
    <col min="15885" max="15886" width="11.5703125" style="261" bestFit="1" customWidth="1"/>
    <col min="15887" max="15887" width="12.85546875" style="261" bestFit="1" customWidth="1"/>
    <col min="15888" max="15891" width="20.140625" style="261" customWidth="1"/>
    <col min="15892" max="15894" width="12.140625" style="261" customWidth="1"/>
    <col min="15895" max="15896" width="20.140625" style="261" customWidth="1"/>
    <col min="15897" max="16128" width="10.140625" style="261"/>
    <col min="16129" max="16129" width="7.140625" style="261" customWidth="1"/>
    <col min="16130" max="16130" width="5" style="261" customWidth="1"/>
    <col min="16131" max="16131" width="65.42578125" style="261" customWidth="1"/>
    <col min="16132" max="16132" width="11" style="261" customWidth="1"/>
    <col min="16133" max="16133" width="6.85546875" style="261" customWidth="1"/>
    <col min="16134" max="16134" width="16" style="261" customWidth="1"/>
    <col min="16135" max="16135" width="15.7109375" style="261" customWidth="1"/>
    <col min="16136" max="16136" width="14.42578125" style="261" customWidth="1"/>
    <col min="16137" max="16137" width="14.140625" style="261" customWidth="1"/>
    <col min="16138" max="16138" width="18.42578125" style="261" customWidth="1"/>
    <col min="16139" max="16139" width="15.5703125" style="261" customWidth="1"/>
    <col min="16140" max="16140" width="8.7109375" style="261" customWidth="1"/>
    <col min="16141" max="16142" width="11.5703125" style="261" bestFit="1" customWidth="1"/>
    <col min="16143" max="16143" width="12.85546875" style="261" bestFit="1" customWidth="1"/>
    <col min="16144" max="16147" width="20.140625" style="261" customWidth="1"/>
    <col min="16148" max="16150" width="12.140625" style="261" customWidth="1"/>
    <col min="16151" max="16152" width="20.140625" style="261" customWidth="1"/>
    <col min="16153" max="16384" width="10.140625" style="261"/>
  </cols>
  <sheetData>
    <row r="1" spans="1:256" s="1" customFormat="1">
      <c r="A1" s="68" t="s">
        <v>401</v>
      </c>
      <c r="B1" s="68"/>
      <c r="C1" s="68" t="str">
        <f ca="1">'1.1.ST'!C1</f>
        <v>งานออกแบบและก่อสร้าง  กองอาคารและสถานที่ มหาวิทยาลัยขอนแก่น</v>
      </c>
      <c r="D1" s="68"/>
      <c r="E1" s="68"/>
      <c r="F1" s="68"/>
      <c r="G1" s="68"/>
      <c r="H1" s="68"/>
      <c r="I1" s="68" t="s">
        <v>43</v>
      </c>
      <c r="J1" s="68" t="s">
        <v>44</v>
      </c>
      <c r="K1" s="68"/>
    </row>
    <row r="2" spans="1:256" s="1" customFormat="1">
      <c r="A2" s="634" t="str">
        <f>' ปร.6'!A3</f>
        <v>ชื่อโครง  โครงการปรับปรุงห้องปฏิบัติการเคมี อาคาร sc.04 คณะวิทยาศาสตร์</v>
      </c>
      <c r="B2" s="634"/>
      <c r="C2" s="634"/>
      <c r="D2" s="68"/>
      <c r="E2" s="68"/>
      <c r="F2" s="68"/>
      <c r="G2" s="68"/>
      <c r="H2" s="68"/>
      <c r="I2" s="68"/>
      <c r="J2" s="68"/>
      <c r="K2" s="68"/>
    </row>
    <row r="3" spans="1:256" s="1" customFormat="1">
      <c r="A3" s="68" t="s">
        <v>88</v>
      </c>
      <c r="B3" s="68"/>
      <c r="C3" s="519" t="s">
        <v>54</v>
      </c>
      <c r="D3" s="68" t="s">
        <v>6</v>
      </c>
      <c r="E3" s="68"/>
      <c r="F3" s="68"/>
      <c r="G3" s="68"/>
      <c r="H3" s="68" t="s">
        <v>45</v>
      </c>
      <c r="I3" s="68"/>
      <c r="J3" s="68"/>
      <c r="K3" s="68"/>
    </row>
    <row r="4" spans="1:256" s="1" customFormat="1">
      <c r="A4" s="68" t="s">
        <v>46</v>
      </c>
      <c r="B4" s="68"/>
      <c r="C4" s="519" t="str">
        <f ca="1">'1.1.ST'!C4</f>
        <v>งานออกแบบและก่อสร้าง</v>
      </c>
      <c r="D4" s="68" t="s">
        <v>47</v>
      </c>
      <c r="E4" s="68" t="s">
        <v>61</v>
      </c>
      <c r="F4" s="68"/>
      <c r="G4" s="68"/>
      <c r="H4" s="68" t="s">
        <v>48</v>
      </c>
      <c r="I4" s="68"/>
      <c r="J4" s="68"/>
      <c r="K4" s="68"/>
    </row>
    <row r="5" spans="1:256" s="1" customFormat="1">
      <c r="A5" s="68" t="s">
        <v>182</v>
      </c>
      <c r="B5" s="68"/>
      <c r="C5" s="519"/>
      <c r="D5" s="68"/>
      <c r="E5" s="68"/>
      <c r="F5" s="68"/>
      <c r="G5" s="68"/>
      <c r="H5" s="69" t="s">
        <v>52</v>
      </c>
      <c r="I5" s="661"/>
      <c r="J5" s="661"/>
      <c r="K5" s="68" t="s">
        <v>22</v>
      </c>
    </row>
    <row r="6" spans="1:256" s="2" customFormat="1" ht="22.5" customHeight="1" thickBot="1">
      <c r="A6" s="6"/>
      <c r="B6" s="6"/>
      <c r="C6" s="7"/>
      <c r="D6" s="8"/>
      <c r="E6" s="8"/>
      <c r="F6" s="70"/>
      <c r="G6" s="71"/>
      <c r="H6" s="71"/>
      <c r="I6" s="70"/>
      <c r="J6" s="70"/>
      <c r="K6" s="7"/>
    </row>
    <row r="7" spans="1:256" s="237" customFormat="1" ht="23.25" customHeight="1">
      <c r="A7" s="72" t="s">
        <v>49</v>
      </c>
      <c r="B7" s="672" t="s">
        <v>1</v>
      </c>
      <c r="C7" s="673"/>
      <c r="D7" s="234" t="s">
        <v>2</v>
      </c>
      <c r="E7" s="74" t="s">
        <v>3</v>
      </c>
      <c r="F7" s="674" t="s">
        <v>23</v>
      </c>
      <c r="G7" s="675"/>
      <c r="H7" s="674" t="s">
        <v>4</v>
      </c>
      <c r="I7" s="675"/>
      <c r="J7" s="235" t="s">
        <v>50</v>
      </c>
      <c r="K7" s="75" t="s">
        <v>5</v>
      </c>
      <c r="L7" s="236"/>
      <c r="M7" s="236"/>
      <c r="N7" s="236"/>
      <c r="O7" s="236"/>
      <c r="P7" s="236"/>
      <c r="Q7" s="236"/>
      <c r="R7" s="236"/>
      <c r="S7" s="236"/>
      <c r="T7" s="236"/>
      <c r="U7" s="236"/>
      <c r="V7" s="236"/>
      <c r="W7" s="236"/>
      <c r="X7" s="236"/>
      <c r="Y7" s="236"/>
      <c r="Z7" s="236"/>
      <c r="AA7" s="236"/>
      <c r="AB7" s="236"/>
      <c r="AC7" s="236"/>
      <c r="AD7" s="236"/>
      <c r="AE7" s="236"/>
      <c r="AF7" s="236"/>
      <c r="AG7" s="236"/>
      <c r="AH7" s="236"/>
      <c r="AI7" s="236"/>
      <c r="AJ7" s="236"/>
      <c r="AK7" s="236"/>
      <c r="AL7" s="236"/>
      <c r="AM7" s="236"/>
      <c r="AN7" s="236"/>
      <c r="AO7" s="236"/>
      <c r="AP7" s="236"/>
      <c r="AQ7" s="236"/>
      <c r="AR7" s="236"/>
      <c r="AS7" s="236"/>
      <c r="AT7" s="236"/>
      <c r="AU7" s="236"/>
      <c r="AV7" s="236"/>
      <c r="AW7" s="236"/>
      <c r="AX7" s="236"/>
      <c r="AY7" s="236"/>
      <c r="AZ7" s="236"/>
      <c r="BA7" s="236"/>
      <c r="BB7" s="236"/>
      <c r="BC7" s="236"/>
      <c r="BD7" s="236"/>
      <c r="BE7" s="236"/>
      <c r="BF7" s="236"/>
      <c r="BG7" s="236"/>
      <c r="BH7" s="236"/>
      <c r="BI7" s="236"/>
      <c r="BJ7" s="236"/>
      <c r="BK7" s="236"/>
      <c r="BL7" s="236"/>
      <c r="BM7" s="236"/>
      <c r="BN7" s="236"/>
      <c r="BO7" s="236"/>
      <c r="BP7" s="236"/>
      <c r="BQ7" s="236"/>
      <c r="BR7" s="236"/>
      <c r="BS7" s="236"/>
      <c r="BT7" s="236"/>
      <c r="BU7" s="236"/>
      <c r="BV7" s="236"/>
      <c r="BW7" s="236"/>
      <c r="BX7" s="236"/>
      <c r="BY7" s="236"/>
      <c r="BZ7" s="236"/>
      <c r="CA7" s="236"/>
      <c r="CB7" s="236"/>
      <c r="CC7" s="236"/>
      <c r="CD7" s="236"/>
      <c r="CE7" s="236"/>
      <c r="CF7" s="236"/>
      <c r="CG7" s="236"/>
      <c r="CH7" s="236"/>
      <c r="CI7" s="236"/>
      <c r="CJ7" s="236"/>
      <c r="CK7" s="236"/>
      <c r="CL7" s="236"/>
      <c r="CM7" s="236"/>
      <c r="CN7" s="236"/>
      <c r="CO7" s="236"/>
      <c r="CP7" s="236"/>
      <c r="CQ7" s="236"/>
      <c r="CR7" s="236"/>
      <c r="CS7" s="236"/>
      <c r="CT7" s="236"/>
      <c r="CU7" s="236"/>
      <c r="CV7" s="236"/>
      <c r="CW7" s="236"/>
      <c r="CX7" s="236"/>
      <c r="CY7" s="236"/>
      <c r="CZ7" s="236"/>
      <c r="DA7" s="236"/>
      <c r="DB7" s="236"/>
      <c r="DC7" s="236"/>
      <c r="DD7" s="236"/>
      <c r="DE7" s="236"/>
      <c r="DF7" s="236"/>
      <c r="DG7" s="236"/>
      <c r="DH7" s="236"/>
      <c r="DI7" s="236"/>
      <c r="DJ7" s="236"/>
      <c r="DK7" s="236"/>
      <c r="DL7" s="236"/>
      <c r="DM7" s="236"/>
      <c r="DN7" s="236"/>
      <c r="DO7" s="236"/>
      <c r="DP7" s="236"/>
      <c r="DQ7" s="236"/>
      <c r="DR7" s="236"/>
      <c r="DS7" s="236"/>
      <c r="DT7" s="236"/>
      <c r="DU7" s="236"/>
      <c r="DV7" s="236"/>
      <c r="DW7" s="236"/>
      <c r="DX7" s="236"/>
      <c r="DY7" s="236"/>
      <c r="DZ7" s="236"/>
      <c r="EA7" s="236"/>
      <c r="EB7" s="236"/>
      <c r="EC7" s="236"/>
      <c r="ED7" s="236"/>
      <c r="EE7" s="236"/>
      <c r="EF7" s="236"/>
      <c r="EG7" s="236"/>
      <c r="EH7" s="236"/>
      <c r="EI7" s="236"/>
      <c r="EJ7" s="236"/>
      <c r="EK7" s="236"/>
      <c r="EL7" s="236"/>
      <c r="EM7" s="236"/>
      <c r="EN7" s="236"/>
      <c r="EO7" s="236"/>
      <c r="EP7" s="236"/>
      <c r="EQ7" s="236"/>
      <c r="ER7" s="236"/>
      <c r="ES7" s="236"/>
      <c r="ET7" s="236"/>
      <c r="EU7" s="236"/>
      <c r="EV7" s="236"/>
      <c r="EW7" s="236"/>
      <c r="EX7" s="236"/>
      <c r="EY7" s="236"/>
      <c r="EZ7" s="236"/>
      <c r="FA7" s="236"/>
      <c r="FB7" s="236"/>
      <c r="FC7" s="236"/>
      <c r="FD7" s="236"/>
      <c r="FE7" s="236"/>
      <c r="FF7" s="236"/>
      <c r="FG7" s="236"/>
      <c r="FH7" s="236"/>
      <c r="FI7" s="236"/>
      <c r="FJ7" s="236"/>
      <c r="FK7" s="236"/>
      <c r="FL7" s="236"/>
      <c r="FM7" s="236"/>
      <c r="FN7" s="236"/>
      <c r="FO7" s="236"/>
      <c r="FP7" s="236"/>
      <c r="FQ7" s="236"/>
      <c r="FR7" s="236"/>
      <c r="FS7" s="236"/>
      <c r="FT7" s="236"/>
      <c r="FU7" s="236"/>
      <c r="FV7" s="236"/>
      <c r="FW7" s="236"/>
      <c r="FX7" s="236"/>
      <c r="FY7" s="236"/>
      <c r="FZ7" s="236"/>
      <c r="GA7" s="236"/>
      <c r="GB7" s="236"/>
      <c r="GC7" s="236"/>
      <c r="GD7" s="236"/>
      <c r="GE7" s="236"/>
      <c r="GF7" s="236"/>
      <c r="GG7" s="236"/>
      <c r="GH7" s="236"/>
      <c r="GI7" s="236"/>
      <c r="GJ7" s="236"/>
      <c r="GK7" s="236"/>
      <c r="GL7" s="236"/>
      <c r="GM7" s="236"/>
      <c r="GN7" s="236"/>
      <c r="GO7" s="236"/>
      <c r="GP7" s="236"/>
      <c r="GQ7" s="236"/>
      <c r="GR7" s="236"/>
      <c r="GS7" s="236"/>
      <c r="GT7" s="236"/>
      <c r="GU7" s="236"/>
      <c r="GV7" s="236"/>
      <c r="GW7" s="236"/>
      <c r="GX7" s="236"/>
      <c r="GY7" s="236"/>
      <c r="GZ7" s="236"/>
      <c r="HA7" s="236"/>
      <c r="HB7" s="236"/>
      <c r="HC7" s="236"/>
      <c r="HD7" s="236"/>
      <c r="HE7" s="236"/>
      <c r="HF7" s="236"/>
      <c r="HG7" s="236"/>
      <c r="HH7" s="236"/>
      <c r="HI7" s="236"/>
      <c r="HJ7" s="236"/>
      <c r="HK7" s="236"/>
      <c r="HL7" s="236"/>
      <c r="HM7" s="236"/>
      <c r="HN7" s="236"/>
      <c r="HO7" s="236"/>
      <c r="HP7" s="236"/>
      <c r="HQ7" s="236"/>
      <c r="HR7" s="236"/>
      <c r="HS7" s="236"/>
      <c r="HT7" s="236"/>
      <c r="HU7" s="236"/>
      <c r="HV7" s="236"/>
      <c r="HW7" s="236"/>
      <c r="HX7" s="236"/>
      <c r="HY7" s="236"/>
      <c r="HZ7" s="236"/>
      <c r="IA7" s="236"/>
      <c r="IB7" s="236"/>
      <c r="IC7" s="236"/>
      <c r="ID7" s="236"/>
      <c r="IE7" s="236"/>
      <c r="IF7" s="236"/>
      <c r="IG7" s="236"/>
      <c r="IH7" s="236"/>
      <c r="II7" s="236"/>
      <c r="IJ7" s="236"/>
      <c r="IK7" s="236"/>
      <c r="IL7" s="236"/>
      <c r="IM7" s="236"/>
      <c r="IN7" s="236"/>
      <c r="IO7" s="236"/>
      <c r="IP7" s="236"/>
      <c r="IQ7" s="236"/>
      <c r="IR7" s="236"/>
      <c r="IS7" s="236"/>
      <c r="IT7" s="236"/>
      <c r="IU7" s="236"/>
      <c r="IV7" s="236"/>
    </row>
    <row r="8" spans="1:256" s="237" customFormat="1" ht="22.5" thickBot="1">
      <c r="A8" s="133"/>
      <c r="B8" s="134"/>
      <c r="C8" s="135"/>
      <c r="D8" s="238"/>
      <c r="E8" s="136"/>
      <c r="F8" s="239" t="s">
        <v>51</v>
      </c>
      <c r="G8" s="239" t="s">
        <v>13</v>
      </c>
      <c r="H8" s="239" t="s">
        <v>51</v>
      </c>
      <c r="I8" s="239" t="s">
        <v>13</v>
      </c>
      <c r="J8" s="240"/>
      <c r="K8" s="241"/>
      <c r="L8" s="236"/>
      <c r="M8" s="236"/>
      <c r="N8" s="236"/>
      <c r="O8" s="236"/>
      <c r="P8" s="236"/>
      <c r="Q8" s="236"/>
      <c r="R8" s="236"/>
      <c r="S8" s="236"/>
      <c r="T8" s="236"/>
      <c r="U8" s="236"/>
      <c r="V8" s="236"/>
      <c r="W8" s="236"/>
      <c r="X8" s="236"/>
      <c r="Y8" s="236"/>
      <c r="Z8" s="236"/>
      <c r="AA8" s="236"/>
      <c r="AB8" s="236"/>
      <c r="AC8" s="236"/>
      <c r="AD8" s="236"/>
      <c r="AE8" s="236"/>
      <c r="AF8" s="236"/>
      <c r="AG8" s="236"/>
      <c r="AH8" s="236"/>
      <c r="AI8" s="236"/>
      <c r="AJ8" s="236"/>
      <c r="AK8" s="236"/>
      <c r="AL8" s="236"/>
      <c r="AM8" s="236"/>
      <c r="AN8" s="236"/>
      <c r="AO8" s="236"/>
      <c r="AP8" s="236"/>
      <c r="AQ8" s="236"/>
      <c r="AR8" s="236"/>
      <c r="AS8" s="236"/>
      <c r="AT8" s="236"/>
      <c r="AU8" s="236"/>
      <c r="AV8" s="236"/>
      <c r="AW8" s="236"/>
      <c r="AX8" s="236"/>
      <c r="AY8" s="236"/>
      <c r="AZ8" s="236"/>
      <c r="BA8" s="236"/>
      <c r="BB8" s="236"/>
      <c r="BC8" s="236"/>
      <c r="BD8" s="236"/>
      <c r="BE8" s="236"/>
      <c r="BF8" s="236"/>
      <c r="BG8" s="236"/>
      <c r="BH8" s="236"/>
      <c r="BI8" s="236"/>
      <c r="BJ8" s="236"/>
      <c r="BK8" s="236"/>
      <c r="BL8" s="236"/>
      <c r="BM8" s="236"/>
      <c r="BN8" s="236"/>
      <c r="BO8" s="236"/>
      <c r="BP8" s="236"/>
      <c r="BQ8" s="236"/>
      <c r="BR8" s="236"/>
      <c r="BS8" s="236"/>
      <c r="BT8" s="236"/>
      <c r="BU8" s="236"/>
      <c r="BV8" s="236"/>
      <c r="BW8" s="236"/>
      <c r="BX8" s="236"/>
      <c r="BY8" s="236"/>
      <c r="BZ8" s="236"/>
      <c r="CA8" s="236"/>
      <c r="CB8" s="236"/>
      <c r="CC8" s="236"/>
      <c r="CD8" s="236"/>
      <c r="CE8" s="236"/>
      <c r="CF8" s="236"/>
      <c r="CG8" s="236"/>
      <c r="CH8" s="236"/>
      <c r="CI8" s="236"/>
      <c r="CJ8" s="236"/>
      <c r="CK8" s="236"/>
      <c r="CL8" s="236"/>
      <c r="CM8" s="236"/>
      <c r="CN8" s="236"/>
      <c r="CO8" s="236"/>
      <c r="CP8" s="236"/>
      <c r="CQ8" s="236"/>
      <c r="CR8" s="236"/>
      <c r="CS8" s="236"/>
      <c r="CT8" s="236"/>
      <c r="CU8" s="236"/>
      <c r="CV8" s="236"/>
      <c r="CW8" s="236"/>
      <c r="CX8" s="236"/>
      <c r="CY8" s="236"/>
      <c r="CZ8" s="236"/>
      <c r="DA8" s="236"/>
      <c r="DB8" s="236"/>
      <c r="DC8" s="236"/>
      <c r="DD8" s="236"/>
      <c r="DE8" s="236"/>
      <c r="DF8" s="236"/>
      <c r="DG8" s="236"/>
      <c r="DH8" s="236"/>
      <c r="DI8" s="236"/>
      <c r="DJ8" s="236"/>
      <c r="DK8" s="236"/>
      <c r="DL8" s="236"/>
      <c r="DM8" s="236"/>
      <c r="DN8" s="236"/>
      <c r="DO8" s="236"/>
      <c r="DP8" s="236"/>
      <c r="DQ8" s="236"/>
      <c r="DR8" s="236"/>
      <c r="DS8" s="236"/>
      <c r="DT8" s="236"/>
      <c r="DU8" s="236"/>
      <c r="DV8" s="236"/>
      <c r="DW8" s="236"/>
      <c r="DX8" s="236"/>
      <c r="DY8" s="236"/>
      <c r="DZ8" s="236"/>
      <c r="EA8" s="236"/>
      <c r="EB8" s="236"/>
      <c r="EC8" s="236"/>
      <c r="ED8" s="236"/>
      <c r="EE8" s="236"/>
      <c r="EF8" s="236"/>
      <c r="EG8" s="236"/>
      <c r="EH8" s="236"/>
      <c r="EI8" s="236"/>
      <c r="EJ8" s="236"/>
      <c r="EK8" s="236"/>
      <c r="EL8" s="236"/>
      <c r="EM8" s="236"/>
      <c r="EN8" s="236"/>
      <c r="EO8" s="236"/>
      <c r="EP8" s="236"/>
      <c r="EQ8" s="236"/>
      <c r="ER8" s="236"/>
      <c r="ES8" s="236"/>
      <c r="ET8" s="236"/>
      <c r="EU8" s="236"/>
      <c r="EV8" s="236"/>
      <c r="EW8" s="236"/>
      <c r="EX8" s="236"/>
      <c r="EY8" s="236"/>
      <c r="EZ8" s="236"/>
      <c r="FA8" s="236"/>
      <c r="FB8" s="236"/>
      <c r="FC8" s="236"/>
      <c r="FD8" s="236"/>
      <c r="FE8" s="236"/>
      <c r="FF8" s="236"/>
      <c r="FG8" s="236"/>
      <c r="FH8" s="236"/>
      <c r="FI8" s="236"/>
      <c r="FJ8" s="236"/>
      <c r="FK8" s="236"/>
      <c r="FL8" s="236"/>
      <c r="FM8" s="236"/>
      <c r="FN8" s="236"/>
      <c r="FO8" s="236"/>
      <c r="FP8" s="236"/>
      <c r="FQ8" s="236"/>
      <c r="FR8" s="236"/>
      <c r="FS8" s="236"/>
      <c r="FT8" s="236"/>
      <c r="FU8" s="236"/>
      <c r="FV8" s="236"/>
      <c r="FW8" s="236"/>
      <c r="FX8" s="236"/>
      <c r="FY8" s="236"/>
      <c r="FZ8" s="236"/>
      <c r="GA8" s="236"/>
      <c r="GB8" s="236"/>
      <c r="GC8" s="236"/>
      <c r="GD8" s="236"/>
      <c r="GE8" s="236"/>
      <c r="GF8" s="236"/>
      <c r="GG8" s="236"/>
      <c r="GH8" s="236"/>
      <c r="GI8" s="236"/>
      <c r="GJ8" s="236"/>
      <c r="GK8" s="236"/>
      <c r="GL8" s="236"/>
      <c r="GM8" s="236"/>
      <c r="GN8" s="236"/>
      <c r="GO8" s="236"/>
      <c r="GP8" s="236"/>
      <c r="GQ8" s="236"/>
      <c r="GR8" s="236"/>
      <c r="GS8" s="236"/>
      <c r="GT8" s="236"/>
      <c r="GU8" s="236"/>
      <c r="GV8" s="236"/>
      <c r="GW8" s="236"/>
      <c r="GX8" s="236"/>
      <c r="GY8" s="236"/>
      <c r="GZ8" s="236"/>
      <c r="HA8" s="236"/>
      <c r="HB8" s="236"/>
      <c r="HC8" s="236"/>
      <c r="HD8" s="236"/>
      <c r="HE8" s="236"/>
      <c r="HF8" s="236"/>
      <c r="HG8" s="236"/>
      <c r="HH8" s="236"/>
      <c r="HI8" s="236"/>
      <c r="HJ8" s="236"/>
      <c r="HK8" s="236"/>
      <c r="HL8" s="236"/>
      <c r="HM8" s="236"/>
      <c r="HN8" s="236"/>
      <c r="HO8" s="236"/>
      <c r="HP8" s="236"/>
      <c r="HQ8" s="236"/>
      <c r="HR8" s="236"/>
      <c r="HS8" s="236"/>
      <c r="HT8" s="236"/>
      <c r="HU8" s="236"/>
      <c r="HV8" s="236"/>
      <c r="HW8" s="236"/>
      <c r="HX8" s="236"/>
      <c r="HY8" s="236"/>
      <c r="HZ8" s="236"/>
      <c r="IA8" s="236"/>
      <c r="IB8" s="236"/>
      <c r="IC8" s="236"/>
      <c r="ID8" s="236"/>
      <c r="IE8" s="236"/>
      <c r="IF8" s="236"/>
      <c r="IG8" s="236"/>
      <c r="IH8" s="236"/>
      <c r="II8" s="236"/>
      <c r="IJ8" s="236"/>
      <c r="IK8" s="236"/>
      <c r="IL8" s="236"/>
      <c r="IM8" s="236"/>
      <c r="IN8" s="236"/>
      <c r="IO8" s="236"/>
      <c r="IP8" s="236"/>
      <c r="IQ8" s="236"/>
      <c r="IR8" s="236"/>
      <c r="IS8" s="236"/>
      <c r="IT8" s="236"/>
      <c r="IU8" s="236"/>
      <c r="IV8" s="236"/>
    </row>
    <row r="9" spans="1:256" s="251" customFormat="1" ht="27.75" customHeight="1">
      <c r="A9" s="242"/>
      <c r="B9" s="243" t="s">
        <v>170</v>
      </c>
      <c r="C9" s="244"/>
      <c r="D9" s="245"/>
      <c r="E9" s="246"/>
      <c r="F9" s="247"/>
      <c r="G9" s="247"/>
      <c r="H9" s="247"/>
      <c r="I9" s="247"/>
      <c r="J9" s="247"/>
      <c r="K9" s="248"/>
      <c r="L9" s="249"/>
      <c r="M9" s="249"/>
      <c r="N9" s="249"/>
      <c r="O9" s="249"/>
      <c r="P9" s="250"/>
      <c r="Q9" s="250"/>
      <c r="R9" s="250"/>
      <c r="S9" s="250"/>
      <c r="T9" s="250"/>
      <c r="U9" s="250"/>
      <c r="V9" s="250"/>
      <c r="W9" s="249"/>
      <c r="X9" s="249"/>
      <c r="Y9" s="249"/>
      <c r="Z9" s="249"/>
      <c r="AA9" s="249"/>
      <c r="AB9" s="249"/>
      <c r="AC9" s="249"/>
      <c r="AD9" s="249"/>
      <c r="AE9" s="249"/>
      <c r="AF9" s="249"/>
      <c r="AG9" s="249"/>
      <c r="AH9" s="249"/>
      <c r="AI9" s="249"/>
      <c r="AJ9" s="249"/>
      <c r="AK9" s="249"/>
      <c r="AL9" s="249"/>
      <c r="AM9" s="249"/>
      <c r="AN9" s="249"/>
      <c r="AO9" s="249"/>
      <c r="AP9" s="249"/>
      <c r="AQ9" s="249"/>
      <c r="AR9" s="249"/>
      <c r="AS9" s="249"/>
      <c r="AT9" s="249"/>
      <c r="AU9" s="249"/>
      <c r="AV9" s="249"/>
      <c r="AW9" s="249"/>
      <c r="AX9" s="249"/>
      <c r="AY9" s="249"/>
      <c r="AZ9" s="249"/>
      <c r="BA9" s="249"/>
      <c r="BB9" s="249"/>
      <c r="BC9" s="249"/>
      <c r="BD9" s="249"/>
      <c r="BE9" s="249"/>
      <c r="BF9" s="249"/>
      <c r="BG9" s="249"/>
      <c r="BH9" s="249"/>
      <c r="BI9" s="249"/>
      <c r="BJ9" s="249"/>
      <c r="BK9" s="249"/>
      <c r="BL9" s="249"/>
      <c r="BM9" s="249"/>
      <c r="BN9" s="249"/>
      <c r="BO9" s="249"/>
      <c r="BP9" s="249"/>
      <c r="BQ9" s="249"/>
      <c r="BR9" s="249"/>
      <c r="BS9" s="249"/>
      <c r="BT9" s="249"/>
      <c r="BU9" s="249"/>
      <c r="BV9" s="249"/>
      <c r="BW9" s="249"/>
      <c r="BX9" s="249"/>
      <c r="BY9" s="249"/>
      <c r="BZ9" s="249"/>
      <c r="CA9" s="249"/>
      <c r="CB9" s="249"/>
      <c r="CC9" s="249"/>
      <c r="CD9" s="249"/>
      <c r="CE9" s="249"/>
      <c r="CF9" s="249"/>
      <c r="CG9" s="249"/>
      <c r="CH9" s="249"/>
      <c r="CI9" s="249"/>
      <c r="CJ9" s="249"/>
      <c r="CK9" s="249"/>
      <c r="CL9" s="249"/>
      <c r="CM9" s="249"/>
      <c r="CN9" s="249"/>
      <c r="CO9" s="249"/>
      <c r="CP9" s="249"/>
      <c r="CQ9" s="249"/>
      <c r="CR9" s="249"/>
      <c r="CS9" s="249"/>
      <c r="CT9" s="249"/>
      <c r="CU9" s="249"/>
      <c r="CV9" s="249"/>
      <c r="CW9" s="249"/>
      <c r="CX9" s="249"/>
      <c r="CY9" s="249"/>
      <c r="CZ9" s="249"/>
      <c r="DA9" s="249"/>
      <c r="DB9" s="249"/>
      <c r="DC9" s="249"/>
      <c r="DD9" s="249"/>
      <c r="DE9" s="249"/>
      <c r="DF9" s="249"/>
      <c r="DG9" s="249"/>
      <c r="DH9" s="249"/>
      <c r="DI9" s="249"/>
      <c r="DJ9" s="249"/>
      <c r="DK9" s="249"/>
      <c r="DL9" s="249"/>
      <c r="DM9" s="249"/>
      <c r="DN9" s="249"/>
      <c r="DO9" s="249"/>
      <c r="DP9" s="249"/>
      <c r="DQ9" s="249"/>
      <c r="DR9" s="249"/>
      <c r="DS9" s="249"/>
      <c r="DT9" s="249"/>
      <c r="DU9" s="249"/>
      <c r="DV9" s="249"/>
      <c r="DW9" s="249"/>
      <c r="DX9" s="249"/>
      <c r="DY9" s="249"/>
      <c r="DZ9" s="249"/>
      <c r="EA9" s="249"/>
      <c r="EB9" s="249"/>
      <c r="EC9" s="249"/>
      <c r="ED9" s="249"/>
      <c r="EE9" s="249"/>
      <c r="EF9" s="249"/>
      <c r="EG9" s="249"/>
      <c r="EH9" s="249"/>
      <c r="EI9" s="249"/>
      <c r="EJ9" s="249"/>
      <c r="EK9" s="249"/>
      <c r="EL9" s="249"/>
      <c r="EM9" s="249"/>
      <c r="EN9" s="249"/>
      <c r="EO9" s="249"/>
      <c r="EP9" s="249"/>
      <c r="EQ9" s="249"/>
      <c r="ER9" s="249"/>
      <c r="ES9" s="249"/>
      <c r="ET9" s="249"/>
      <c r="EU9" s="249"/>
      <c r="EV9" s="249"/>
      <c r="EW9" s="249"/>
      <c r="EX9" s="249"/>
      <c r="EY9" s="249"/>
      <c r="EZ9" s="249"/>
      <c r="FA9" s="249"/>
      <c r="FB9" s="249"/>
      <c r="FC9" s="249"/>
      <c r="FD9" s="249"/>
      <c r="FE9" s="249"/>
      <c r="FF9" s="249"/>
      <c r="FG9" s="249"/>
      <c r="FH9" s="249"/>
      <c r="FI9" s="249"/>
      <c r="FJ9" s="249"/>
      <c r="FK9" s="249"/>
      <c r="FL9" s="249"/>
      <c r="FM9" s="249"/>
      <c r="FN9" s="249"/>
      <c r="FO9" s="249"/>
      <c r="FP9" s="249"/>
      <c r="FQ9" s="249"/>
      <c r="FR9" s="249"/>
      <c r="FS9" s="249"/>
      <c r="FT9" s="249"/>
      <c r="FU9" s="249"/>
      <c r="FV9" s="249"/>
      <c r="FW9" s="249"/>
      <c r="FX9" s="249"/>
      <c r="FY9" s="249"/>
      <c r="FZ9" s="249"/>
      <c r="GA9" s="249"/>
      <c r="GB9" s="249"/>
      <c r="GC9" s="249"/>
      <c r="GD9" s="249"/>
      <c r="GE9" s="249"/>
      <c r="GF9" s="249"/>
      <c r="GG9" s="249"/>
      <c r="GH9" s="249"/>
      <c r="GI9" s="249"/>
      <c r="GJ9" s="249"/>
      <c r="GK9" s="249"/>
      <c r="GL9" s="249"/>
      <c r="GM9" s="249"/>
      <c r="GN9" s="249"/>
      <c r="GO9" s="249"/>
      <c r="GP9" s="249"/>
      <c r="GQ9" s="249"/>
      <c r="GR9" s="249"/>
      <c r="GS9" s="249"/>
      <c r="GT9" s="249"/>
      <c r="GU9" s="249"/>
      <c r="GV9" s="249"/>
      <c r="GW9" s="249"/>
      <c r="GX9" s="249"/>
      <c r="GY9" s="249"/>
      <c r="GZ9" s="249"/>
      <c r="HA9" s="249"/>
      <c r="HB9" s="249"/>
      <c r="HC9" s="249"/>
      <c r="HD9" s="249"/>
      <c r="HE9" s="249"/>
      <c r="HF9" s="249"/>
      <c r="HG9" s="249"/>
      <c r="HH9" s="249"/>
      <c r="HI9" s="249"/>
      <c r="HJ9" s="249"/>
      <c r="HK9" s="249"/>
      <c r="HL9" s="249"/>
      <c r="HM9" s="249"/>
      <c r="HN9" s="249"/>
      <c r="HO9" s="249"/>
      <c r="HP9" s="249"/>
      <c r="HQ9" s="249"/>
      <c r="HR9" s="249"/>
      <c r="HS9" s="249"/>
      <c r="HT9" s="249"/>
      <c r="HU9" s="249"/>
      <c r="HV9" s="249"/>
      <c r="HW9" s="249"/>
      <c r="HX9" s="249"/>
      <c r="HY9" s="249"/>
      <c r="HZ9" s="249"/>
      <c r="IA9" s="249"/>
      <c r="IB9" s="249"/>
      <c r="IC9" s="249"/>
      <c r="ID9" s="249"/>
      <c r="IE9" s="249"/>
      <c r="IF9" s="249"/>
      <c r="IG9" s="249"/>
      <c r="IH9" s="249"/>
      <c r="II9" s="249"/>
      <c r="IJ9" s="249"/>
      <c r="IK9" s="249"/>
      <c r="IL9" s="249"/>
      <c r="IM9" s="249"/>
      <c r="IN9" s="249"/>
      <c r="IO9" s="249"/>
      <c r="IP9" s="249"/>
      <c r="IQ9" s="249"/>
      <c r="IR9" s="249"/>
      <c r="IS9" s="249"/>
      <c r="IT9" s="249"/>
      <c r="IU9" s="249"/>
      <c r="IV9" s="249"/>
    </row>
    <row r="10" spans="1:256">
      <c r="A10" s="252"/>
      <c r="B10" s="253" t="s">
        <v>78</v>
      </c>
      <c r="C10" s="254"/>
      <c r="D10" s="255"/>
      <c r="E10" s="256"/>
      <c r="F10" s="257"/>
      <c r="G10" s="257"/>
      <c r="H10" s="257"/>
      <c r="I10" s="257"/>
      <c r="J10" s="257"/>
      <c r="K10" s="258"/>
      <c r="L10" s="259"/>
      <c r="M10" s="259"/>
      <c r="N10" s="259"/>
      <c r="O10" s="259"/>
      <c r="P10" s="260"/>
      <c r="Q10" s="260"/>
      <c r="R10" s="260"/>
      <c r="S10" s="260"/>
      <c r="T10" s="260"/>
      <c r="U10" s="260"/>
      <c r="V10" s="260"/>
      <c r="W10" s="259"/>
      <c r="X10" s="259"/>
      <c r="Y10" s="259"/>
      <c r="Z10" s="259"/>
      <c r="AA10" s="259"/>
      <c r="AB10" s="259"/>
      <c r="AC10" s="259"/>
      <c r="AD10" s="259"/>
      <c r="AE10" s="259"/>
      <c r="AF10" s="259"/>
      <c r="AG10" s="259"/>
      <c r="AH10" s="259"/>
      <c r="AI10" s="259"/>
      <c r="AJ10" s="259"/>
      <c r="AK10" s="259"/>
      <c r="AL10" s="259"/>
      <c r="AM10" s="259"/>
      <c r="AN10" s="259"/>
      <c r="AO10" s="259"/>
      <c r="AP10" s="259"/>
      <c r="AQ10" s="259"/>
      <c r="AR10" s="259"/>
      <c r="AS10" s="259"/>
      <c r="AT10" s="259"/>
      <c r="AU10" s="259"/>
      <c r="AV10" s="259"/>
      <c r="AW10" s="259"/>
      <c r="AX10" s="259"/>
      <c r="AY10" s="259"/>
      <c r="AZ10" s="259"/>
      <c r="BA10" s="259"/>
      <c r="BB10" s="259"/>
      <c r="BC10" s="259"/>
      <c r="BD10" s="259"/>
      <c r="BE10" s="259"/>
      <c r="BF10" s="259"/>
      <c r="BG10" s="259"/>
      <c r="BH10" s="259"/>
      <c r="BI10" s="259"/>
      <c r="BJ10" s="259"/>
      <c r="BK10" s="259"/>
      <c r="BL10" s="259"/>
      <c r="BM10" s="259"/>
      <c r="BN10" s="259"/>
      <c r="BO10" s="259"/>
      <c r="BP10" s="259"/>
      <c r="BQ10" s="259"/>
      <c r="BR10" s="259"/>
      <c r="BS10" s="259"/>
      <c r="BT10" s="259"/>
      <c r="BU10" s="259"/>
      <c r="BV10" s="259"/>
      <c r="BW10" s="259"/>
      <c r="BX10" s="259"/>
      <c r="BY10" s="259"/>
      <c r="BZ10" s="259"/>
      <c r="CA10" s="259"/>
      <c r="CB10" s="259"/>
      <c r="CC10" s="259"/>
      <c r="CD10" s="259"/>
      <c r="CE10" s="259"/>
      <c r="CF10" s="259"/>
      <c r="CG10" s="259"/>
      <c r="CH10" s="259"/>
      <c r="CI10" s="259"/>
      <c r="CJ10" s="259"/>
      <c r="CK10" s="259"/>
      <c r="CL10" s="259"/>
      <c r="CM10" s="259"/>
      <c r="CN10" s="259"/>
      <c r="CO10" s="259"/>
      <c r="CP10" s="259"/>
      <c r="CQ10" s="259"/>
      <c r="CR10" s="259"/>
      <c r="CS10" s="259"/>
      <c r="CT10" s="259"/>
      <c r="CU10" s="259"/>
      <c r="CV10" s="259"/>
      <c r="CW10" s="259"/>
      <c r="CX10" s="259"/>
      <c r="CY10" s="259"/>
      <c r="CZ10" s="259"/>
      <c r="DA10" s="259"/>
      <c r="DB10" s="259"/>
      <c r="DC10" s="259"/>
      <c r="DD10" s="259"/>
      <c r="DE10" s="259"/>
      <c r="DF10" s="259"/>
      <c r="DG10" s="259"/>
      <c r="DH10" s="259"/>
      <c r="DI10" s="259"/>
      <c r="DJ10" s="259"/>
      <c r="DK10" s="259"/>
      <c r="DL10" s="259"/>
      <c r="DM10" s="259"/>
      <c r="DN10" s="259"/>
      <c r="DO10" s="259"/>
      <c r="DP10" s="259"/>
      <c r="DQ10" s="259"/>
      <c r="DR10" s="259"/>
      <c r="DS10" s="259"/>
      <c r="DT10" s="259"/>
      <c r="DU10" s="259"/>
      <c r="DV10" s="259"/>
      <c r="DW10" s="259"/>
      <c r="DX10" s="259"/>
      <c r="DY10" s="259"/>
      <c r="DZ10" s="259"/>
      <c r="EA10" s="259"/>
      <c r="EB10" s="259"/>
      <c r="EC10" s="259"/>
      <c r="ED10" s="259"/>
      <c r="EE10" s="259"/>
      <c r="EF10" s="259"/>
      <c r="EG10" s="259"/>
      <c r="EH10" s="259"/>
      <c r="EI10" s="259"/>
      <c r="EJ10" s="259"/>
      <c r="EK10" s="259"/>
      <c r="EL10" s="259"/>
      <c r="EM10" s="259"/>
      <c r="EN10" s="259"/>
      <c r="EO10" s="259"/>
      <c r="EP10" s="259"/>
      <c r="EQ10" s="259"/>
      <c r="ER10" s="259"/>
      <c r="ES10" s="259"/>
      <c r="ET10" s="259"/>
      <c r="EU10" s="259"/>
      <c r="EV10" s="259"/>
      <c r="EW10" s="259"/>
      <c r="EX10" s="259"/>
      <c r="EY10" s="259"/>
      <c r="EZ10" s="259"/>
      <c r="FA10" s="259"/>
      <c r="FB10" s="259"/>
      <c r="FC10" s="259"/>
      <c r="FD10" s="259"/>
      <c r="FE10" s="259"/>
      <c r="FF10" s="259"/>
      <c r="FG10" s="259"/>
      <c r="FH10" s="259"/>
      <c r="FI10" s="259"/>
      <c r="FJ10" s="259"/>
      <c r="FK10" s="259"/>
      <c r="FL10" s="259"/>
      <c r="FM10" s="259"/>
      <c r="FN10" s="259"/>
      <c r="FO10" s="259"/>
      <c r="FP10" s="259"/>
      <c r="FQ10" s="259"/>
      <c r="FR10" s="259"/>
      <c r="FS10" s="259"/>
      <c r="FT10" s="259"/>
      <c r="FU10" s="259"/>
      <c r="FV10" s="259"/>
      <c r="FW10" s="259"/>
      <c r="FX10" s="259"/>
      <c r="FY10" s="259"/>
      <c r="FZ10" s="259"/>
      <c r="GA10" s="259"/>
      <c r="GB10" s="259"/>
      <c r="GC10" s="259"/>
      <c r="GD10" s="259"/>
      <c r="GE10" s="259"/>
      <c r="GF10" s="259"/>
      <c r="GG10" s="259"/>
      <c r="GH10" s="259"/>
      <c r="GI10" s="259"/>
      <c r="GJ10" s="259"/>
      <c r="GK10" s="259"/>
      <c r="GL10" s="259"/>
      <c r="GM10" s="259"/>
      <c r="GN10" s="259"/>
      <c r="GO10" s="259"/>
      <c r="GP10" s="259"/>
      <c r="GQ10" s="259"/>
      <c r="GR10" s="259"/>
      <c r="GS10" s="259"/>
      <c r="GT10" s="259"/>
      <c r="GU10" s="259"/>
      <c r="GV10" s="259"/>
      <c r="GW10" s="259"/>
      <c r="GX10" s="259"/>
      <c r="GY10" s="259"/>
      <c r="GZ10" s="259"/>
      <c r="HA10" s="259"/>
      <c r="HB10" s="259"/>
      <c r="HC10" s="259"/>
      <c r="HD10" s="259"/>
      <c r="HE10" s="259"/>
      <c r="HF10" s="259"/>
      <c r="HG10" s="259"/>
      <c r="HH10" s="259"/>
      <c r="HI10" s="259"/>
      <c r="HJ10" s="259"/>
      <c r="HK10" s="259"/>
      <c r="HL10" s="259"/>
      <c r="HM10" s="259"/>
      <c r="HN10" s="259"/>
      <c r="HO10" s="259"/>
      <c r="HP10" s="259"/>
      <c r="HQ10" s="259"/>
      <c r="HR10" s="259"/>
      <c r="HS10" s="259"/>
      <c r="HT10" s="259"/>
      <c r="HU10" s="259"/>
      <c r="HV10" s="259"/>
      <c r="HW10" s="259"/>
      <c r="HX10" s="259"/>
      <c r="HY10" s="259"/>
      <c r="HZ10" s="259"/>
      <c r="IA10" s="259"/>
      <c r="IB10" s="259"/>
      <c r="IC10" s="259"/>
      <c r="ID10" s="259"/>
      <c r="IE10" s="259"/>
      <c r="IF10" s="259"/>
      <c r="IG10" s="259"/>
      <c r="IH10" s="259"/>
      <c r="II10" s="259"/>
      <c r="IJ10" s="259"/>
      <c r="IK10" s="259"/>
      <c r="IL10" s="259"/>
      <c r="IM10" s="259"/>
      <c r="IN10" s="259"/>
      <c r="IO10" s="259"/>
      <c r="IP10" s="259"/>
      <c r="IQ10" s="259"/>
      <c r="IR10" s="259"/>
      <c r="IS10" s="259"/>
      <c r="IT10" s="259"/>
      <c r="IU10" s="259"/>
      <c r="IV10" s="259"/>
    </row>
    <row r="11" spans="1:256" s="271" customFormat="1">
      <c r="A11" s="262">
        <v>1.4</v>
      </c>
      <c r="B11" s="263" t="s">
        <v>171</v>
      </c>
      <c r="C11" s="264"/>
      <c r="D11" s="265"/>
      <c r="E11" s="266"/>
      <c r="F11" s="267"/>
      <c r="G11" s="267"/>
      <c r="H11" s="267"/>
      <c r="I11" s="267"/>
      <c r="J11" s="267"/>
      <c r="K11" s="268"/>
      <c r="L11" s="269"/>
      <c r="M11" s="269"/>
      <c r="N11" s="269"/>
      <c r="O11" s="270"/>
      <c r="P11" s="270"/>
      <c r="Q11" s="270"/>
      <c r="R11" s="270"/>
      <c r="S11" s="270"/>
      <c r="T11" s="270"/>
      <c r="U11" s="270"/>
      <c r="V11" s="270"/>
      <c r="W11" s="270"/>
      <c r="X11" s="270"/>
      <c r="Y11" s="270"/>
      <c r="Z11" s="270"/>
      <c r="AA11" s="270"/>
      <c r="AB11" s="270"/>
      <c r="AC11" s="270"/>
      <c r="AD11" s="270"/>
      <c r="AE11" s="270"/>
      <c r="AF11" s="270"/>
      <c r="AG11" s="270"/>
      <c r="AH11" s="270"/>
      <c r="AI11" s="270"/>
      <c r="AJ11" s="270"/>
      <c r="AK11" s="270"/>
      <c r="AL11" s="270"/>
      <c r="AM11" s="270"/>
      <c r="AN11" s="270"/>
      <c r="AO11" s="270"/>
      <c r="AP11" s="270"/>
      <c r="AQ11" s="270"/>
      <c r="AR11" s="270"/>
      <c r="AS11" s="270"/>
      <c r="AT11" s="270"/>
      <c r="AU11" s="270"/>
      <c r="AV11" s="270"/>
      <c r="AW11" s="270"/>
      <c r="AX11" s="270"/>
      <c r="AY11" s="270"/>
      <c r="AZ11" s="270"/>
      <c r="BA11" s="270"/>
      <c r="BB11" s="270"/>
      <c r="BC11" s="270"/>
      <c r="BD11" s="270"/>
      <c r="BE11" s="270"/>
      <c r="BF11" s="270"/>
      <c r="BG11" s="270"/>
      <c r="BH11" s="270"/>
      <c r="BI11" s="270"/>
      <c r="BJ11" s="270"/>
      <c r="BK11" s="270"/>
      <c r="BL11" s="270"/>
      <c r="BM11" s="270"/>
      <c r="BN11" s="270"/>
      <c r="BO11" s="270"/>
      <c r="BP11" s="270"/>
      <c r="BQ11" s="270"/>
      <c r="BR11" s="270"/>
      <c r="BS11" s="270"/>
      <c r="BT11" s="270"/>
      <c r="BU11" s="270"/>
      <c r="BV11" s="270"/>
      <c r="BW11" s="270"/>
      <c r="BX11" s="270"/>
      <c r="BY11" s="270"/>
      <c r="BZ11" s="270"/>
      <c r="CA11" s="270"/>
      <c r="CB11" s="270"/>
      <c r="CC11" s="270"/>
      <c r="CD11" s="270"/>
      <c r="CE11" s="270"/>
      <c r="CF11" s="270"/>
      <c r="CG11" s="270"/>
      <c r="CH11" s="270"/>
      <c r="CI11" s="270"/>
      <c r="CJ11" s="270"/>
      <c r="CK11" s="270"/>
      <c r="CL11" s="270"/>
      <c r="CM11" s="270"/>
      <c r="CN11" s="270"/>
      <c r="CO11" s="270"/>
      <c r="CP11" s="270"/>
      <c r="CQ11" s="270"/>
      <c r="CR11" s="270"/>
      <c r="CS11" s="270"/>
      <c r="CT11" s="270"/>
      <c r="CU11" s="270"/>
      <c r="CV11" s="270"/>
      <c r="CW11" s="270"/>
      <c r="CX11" s="270"/>
      <c r="CY11" s="270"/>
      <c r="CZ11" s="270"/>
      <c r="DA11" s="270"/>
      <c r="DB11" s="270"/>
      <c r="DC11" s="270"/>
      <c r="DD11" s="270"/>
      <c r="DE11" s="270"/>
      <c r="DF11" s="270"/>
      <c r="DG11" s="270"/>
      <c r="DH11" s="270"/>
      <c r="DI11" s="270"/>
      <c r="DJ11" s="270"/>
      <c r="DK11" s="270"/>
      <c r="DL11" s="270"/>
      <c r="DM11" s="270"/>
      <c r="DN11" s="270"/>
      <c r="DO11" s="270"/>
      <c r="DP11" s="270"/>
      <c r="DQ11" s="270"/>
      <c r="DR11" s="270"/>
      <c r="DS11" s="270"/>
      <c r="DT11" s="270"/>
      <c r="DU11" s="270"/>
      <c r="DV11" s="270"/>
      <c r="DW11" s="270"/>
      <c r="DX11" s="270"/>
      <c r="DY11" s="270"/>
      <c r="DZ11" s="270"/>
      <c r="EA11" s="270"/>
      <c r="EB11" s="270"/>
      <c r="EC11" s="270"/>
      <c r="ED11" s="270"/>
      <c r="EE11" s="270"/>
      <c r="EF11" s="270"/>
      <c r="EG11" s="270"/>
      <c r="EH11" s="270"/>
      <c r="EI11" s="270"/>
      <c r="EJ11" s="270"/>
      <c r="EK11" s="270"/>
      <c r="EL11" s="270"/>
      <c r="EM11" s="270"/>
      <c r="EN11" s="270"/>
      <c r="EO11" s="270"/>
      <c r="EP11" s="270"/>
      <c r="EQ11" s="270"/>
      <c r="ER11" s="270"/>
      <c r="ES11" s="270"/>
      <c r="ET11" s="270"/>
      <c r="EU11" s="270"/>
      <c r="EV11" s="270"/>
      <c r="EW11" s="270"/>
      <c r="EX11" s="270"/>
      <c r="EY11" s="270"/>
      <c r="EZ11" s="270"/>
      <c r="FA11" s="270"/>
      <c r="FB11" s="270"/>
      <c r="FC11" s="270"/>
      <c r="FD11" s="270"/>
      <c r="FE11" s="270"/>
      <c r="FF11" s="270"/>
      <c r="FG11" s="270"/>
      <c r="FH11" s="270"/>
      <c r="FI11" s="270"/>
      <c r="FJ11" s="270"/>
      <c r="FK11" s="270"/>
      <c r="FL11" s="270"/>
      <c r="FM11" s="270"/>
      <c r="FN11" s="270"/>
      <c r="FO11" s="270"/>
      <c r="FP11" s="270"/>
      <c r="FQ11" s="270"/>
      <c r="FR11" s="270"/>
      <c r="FS11" s="270"/>
      <c r="FT11" s="270"/>
      <c r="FU11" s="270"/>
      <c r="FV11" s="270"/>
      <c r="FW11" s="270"/>
      <c r="FX11" s="270"/>
      <c r="FY11" s="270"/>
      <c r="FZ11" s="270"/>
      <c r="GA11" s="270"/>
      <c r="GB11" s="270"/>
      <c r="GC11" s="270"/>
      <c r="GD11" s="270"/>
      <c r="GE11" s="270"/>
      <c r="GF11" s="270"/>
      <c r="GG11" s="270"/>
      <c r="GH11" s="270"/>
      <c r="GI11" s="270"/>
      <c r="GJ11" s="270"/>
      <c r="GK11" s="270"/>
      <c r="GL11" s="270"/>
      <c r="GM11" s="270"/>
      <c r="GN11" s="270"/>
      <c r="GO11" s="270"/>
      <c r="GP11" s="270"/>
      <c r="GQ11" s="270"/>
      <c r="GR11" s="270"/>
      <c r="GS11" s="270"/>
      <c r="GT11" s="270"/>
      <c r="GU11" s="270"/>
      <c r="GV11" s="270"/>
      <c r="GW11" s="270"/>
      <c r="GX11" s="270"/>
      <c r="GY11" s="270"/>
      <c r="GZ11" s="270"/>
      <c r="HA11" s="270"/>
      <c r="HB11" s="270"/>
      <c r="HC11" s="270"/>
      <c r="HD11" s="270"/>
      <c r="HE11" s="270"/>
      <c r="HF11" s="270"/>
      <c r="HG11" s="270"/>
      <c r="HH11" s="270"/>
      <c r="HI11" s="270"/>
      <c r="HJ11" s="270"/>
      <c r="HK11" s="270"/>
      <c r="HL11" s="270"/>
      <c r="HM11" s="270"/>
      <c r="HN11" s="270"/>
      <c r="HO11" s="270"/>
      <c r="HP11" s="270"/>
      <c r="HQ11" s="270"/>
      <c r="HR11" s="270"/>
      <c r="HS11" s="270"/>
      <c r="HT11" s="270"/>
      <c r="HU11" s="270"/>
      <c r="HV11" s="270"/>
      <c r="HW11" s="270"/>
      <c r="HX11" s="270"/>
      <c r="HY11" s="270"/>
      <c r="HZ11" s="270"/>
      <c r="IA11" s="270"/>
      <c r="IB11" s="270"/>
      <c r="IC11" s="270"/>
      <c r="ID11" s="270"/>
      <c r="IE11" s="270"/>
      <c r="IF11" s="270"/>
      <c r="IG11" s="270"/>
      <c r="IH11" s="270"/>
      <c r="II11" s="270"/>
      <c r="IJ11" s="270"/>
      <c r="IK11" s="270"/>
      <c r="IL11" s="270"/>
      <c r="IM11" s="270"/>
      <c r="IN11" s="270"/>
      <c r="IO11" s="270"/>
      <c r="IP11" s="270"/>
      <c r="IQ11" s="270"/>
      <c r="IR11" s="270"/>
      <c r="IS11" s="270"/>
      <c r="IT11" s="270"/>
      <c r="IU11" s="270"/>
      <c r="IV11" s="270"/>
    </row>
    <row r="12" spans="1:256">
      <c r="A12" s="272" t="s">
        <v>479</v>
      </c>
      <c r="B12" s="273" t="s">
        <v>90</v>
      </c>
      <c r="C12" s="274"/>
      <c r="D12" s="272"/>
      <c r="E12" s="272"/>
      <c r="F12" s="275"/>
      <c r="G12" s="276"/>
      <c r="H12" s="275"/>
      <c r="I12" s="276"/>
      <c r="J12" s="276"/>
      <c r="K12" s="277"/>
    </row>
    <row r="13" spans="1:256" ht="51.75" customHeight="1">
      <c r="A13" s="279"/>
      <c r="B13" s="627" t="s">
        <v>85</v>
      </c>
      <c r="C13" s="633" t="s">
        <v>542</v>
      </c>
      <c r="D13" s="628">
        <v>1</v>
      </c>
      <c r="E13" s="629" t="s">
        <v>75</v>
      </c>
      <c r="F13" s="630">
        <v>6500</v>
      </c>
      <c r="G13" s="631">
        <f>F13*D13</f>
        <v>6500</v>
      </c>
      <c r="H13" s="630">
        <v>5000</v>
      </c>
      <c r="I13" s="631">
        <f>H13*D13</f>
        <v>5000</v>
      </c>
      <c r="J13" s="632">
        <f>I13+G13</f>
        <v>11500</v>
      </c>
      <c r="K13" s="626" t="s">
        <v>541</v>
      </c>
    </row>
    <row r="14" spans="1:256">
      <c r="A14" s="272" t="s">
        <v>480</v>
      </c>
      <c r="B14" s="273" t="s">
        <v>172</v>
      </c>
      <c r="C14" s="274"/>
      <c r="D14" s="272"/>
      <c r="E14" s="272"/>
      <c r="F14" s="275"/>
      <c r="G14" s="276"/>
      <c r="H14" s="275"/>
      <c r="I14" s="276"/>
      <c r="J14" s="276"/>
      <c r="K14" s="277"/>
    </row>
    <row r="15" spans="1:256">
      <c r="A15" s="279"/>
      <c r="B15" s="280" t="s">
        <v>474</v>
      </c>
      <c r="C15" s="281"/>
      <c r="D15" s="282"/>
      <c r="E15" s="282"/>
      <c r="F15" s="283"/>
      <c r="G15" s="284"/>
      <c r="H15" s="283"/>
      <c r="I15" s="284"/>
      <c r="J15" s="285"/>
      <c r="K15" s="286"/>
    </row>
    <row r="16" spans="1:256">
      <c r="A16" s="279"/>
      <c r="B16" s="287" t="s">
        <v>85</v>
      </c>
      <c r="C16" s="281" t="s">
        <v>475</v>
      </c>
      <c r="D16" s="288">
        <v>120</v>
      </c>
      <c r="E16" s="282" t="s">
        <v>95</v>
      </c>
      <c r="F16" s="283">
        <v>27</v>
      </c>
      <c r="G16" s="284">
        <f>F16*D16</f>
        <v>3240</v>
      </c>
      <c r="H16" s="283">
        <v>25</v>
      </c>
      <c r="I16" s="284">
        <f>H16*D16</f>
        <v>3000</v>
      </c>
      <c r="J16" s="285">
        <f>I16+G16</f>
        <v>6240</v>
      </c>
      <c r="K16" s="286"/>
    </row>
    <row r="17" spans="1:11">
      <c r="A17" s="279"/>
      <c r="B17" s="287" t="s">
        <v>85</v>
      </c>
      <c r="C17" s="281" t="s">
        <v>476</v>
      </c>
      <c r="D17" s="288">
        <v>40</v>
      </c>
      <c r="E17" s="282" t="s">
        <v>95</v>
      </c>
      <c r="F17" s="283">
        <v>20</v>
      </c>
      <c r="G17" s="284">
        <f>F17*D17</f>
        <v>800</v>
      </c>
      <c r="H17" s="283">
        <v>25</v>
      </c>
      <c r="I17" s="284">
        <f>H17*D17</f>
        <v>1000</v>
      </c>
      <c r="J17" s="285">
        <f>I17+G17</f>
        <v>1800</v>
      </c>
      <c r="K17" s="286"/>
    </row>
    <row r="18" spans="1:11">
      <c r="A18" s="279"/>
      <c r="B18" s="287" t="s">
        <v>85</v>
      </c>
      <c r="C18" s="281" t="s">
        <v>173</v>
      </c>
      <c r="D18" s="289">
        <v>1</v>
      </c>
      <c r="E18" s="282" t="s">
        <v>174</v>
      </c>
      <c r="F18" s="283">
        <v>10000</v>
      </c>
      <c r="G18" s="284">
        <f>F18*D18</f>
        <v>10000</v>
      </c>
      <c r="H18" s="283">
        <v>5000</v>
      </c>
      <c r="I18" s="284">
        <f>H18*D18</f>
        <v>5000</v>
      </c>
      <c r="J18" s="285">
        <f>I18+G18</f>
        <v>15000</v>
      </c>
      <c r="K18" s="286"/>
    </row>
    <row r="19" spans="1:11">
      <c r="A19" s="272" t="s">
        <v>481</v>
      </c>
      <c r="B19" s="273" t="s">
        <v>477</v>
      </c>
      <c r="C19" s="290"/>
      <c r="D19" s="288"/>
      <c r="E19" s="279"/>
      <c r="F19" s="283">
        <v>0</v>
      </c>
      <c r="G19" s="285"/>
      <c r="H19" s="283"/>
      <c r="I19" s="285"/>
      <c r="J19" s="285"/>
      <c r="K19" s="286"/>
    </row>
    <row r="20" spans="1:11">
      <c r="A20" s="279"/>
      <c r="B20" s="287" t="s">
        <v>85</v>
      </c>
      <c r="C20" s="290" t="s">
        <v>478</v>
      </c>
      <c r="D20" s="288">
        <v>110</v>
      </c>
      <c r="E20" s="279" t="s">
        <v>60</v>
      </c>
      <c r="F20" s="283">
        <v>130</v>
      </c>
      <c r="G20" s="285">
        <f>F20*D20</f>
        <v>14300</v>
      </c>
      <c r="H20" s="283">
        <v>40</v>
      </c>
      <c r="I20" s="285">
        <f>H20*D20</f>
        <v>4400</v>
      </c>
      <c r="J20" s="285">
        <f>I20+G20</f>
        <v>18700</v>
      </c>
      <c r="K20" s="286"/>
    </row>
    <row r="21" spans="1:11">
      <c r="A21" s="272" t="s">
        <v>540</v>
      </c>
      <c r="B21" s="273" t="s">
        <v>482</v>
      </c>
      <c r="C21" s="274"/>
      <c r="D21" s="272"/>
      <c r="E21" s="272"/>
      <c r="F21" s="275"/>
      <c r="G21" s="276"/>
      <c r="H21" s="275"/>
      <c r="I21" s="276"/>
      <c r="J21" s="276"/>
      <c r="K21" s="277"/>
    </row>
    <row r="22" spans="1:11">
      <c r="A22" s="279"/>
      <c r="B22" s="287" t="s">
        <v>85</v>
      </c>
      <c r="C22" s="281" t="s">
        <v>175</v>
      </c>
      <c r="D22" s="288">
        <v>60</v>
      </c>
      <c r="E22" s="282" t="s">
        <v>95</v>
      </c>
      <c r="F22" s="283">
        <v>160</v>
      </c>
      <c r="G22" s="284">
        <f>F22*D22</f>
        <v>9600</v>
      </c>
      <c r="H22" s="283">
        <v>100</v>
      </c>
      <c r="I22" s="284">
        <f>H22*D22</f>
        <v>6000</v>
      </c>
      <c r="J22" s="285">
        <f>I22+G22</f>
        <v>15600</v>
      </c>
      <c r="K22" s="286"/>
    </row>
    <row r="23" spans="1:11">
      <c r="A23" s="279"/>
      <c r="B23" s="287" t="s">
        <v>85</v>
      </c>
      <c r="C23" s="281" t="s">
        <v>483</v>
      </c>
      <c r="D23" s="288">
        <v>400</v>
      </c>
      <c r="E23" s="282" t="s">
        <v>95</v>
      </c>
      <c r="F23" s="283">
        <v>93</v>
      </c>
      <c r="G23" s="284">
        <f>F23*D23</f>
        <v>37200</v>
      </c>
      <c r="H23" s="283">
        <v>100</v>
      </c>
      <c r="I23" s="284">
        <f>H23*D23</f>
        <v>40000</v>
      </c>
      <c r="J23" s="285">
        <f>I23+G23</f>
        <v>77200</v>
      </c>
      <c r="K23" s="286"/>
    </row>
    <row r="24" spans="1:11">
      <c r="A24" s="279"/>
      <c r="B24" s="287" t="s">
        <v>85</v>
      </c>
      <c r="C24" s="281" t="s">
        <v>484</v>
      </c>
      <c r="D24" s="288">
        <v>200</v>
      </c>
      <c r="E24" s="282" t="s">
        <v>95</v>
      </c>
      <c r="F24" s="283">
        <v>58</v>
      </c>
      <c r="G24" s="284">
        <f>F24*D24</f>
        <v>11600</v>
      </c>
      <c r="H24" s="283">
        <v>35</v>
      </c>
      <c r="I24" s="284">
        <f>H24*D24</f>
        <v>7000</v>
      </c>
      <c r="J24" s="285">
        <f>I24+G24</f>
        <v>18600</v>
      </c>
      <c r="K24" s="286"/>
    </row>
    <row r="25" spans="1:11">
      <c r="A25" s="279"/>
      <c r="B25" s="287" t="s">
        <v>85</v>
      </c>
      <c r="C25" s="281" t="s">
        <v>173</v>
      </c>
      <c r="D25" s="289">
        <v>1</v>
      </c>
      <c r="E25" s="282" t="s">
        <v>174</v>
      </c>
      <c r="F25" s="283">
        <v>11500</v>
      </c>
      <c r="G25" s="284">
        <f>F25*D25</f>
        <v>11500</v>
      </c>
      <c r="H25" s="283">
        <v>15600</v>
      </c>
      <c r="I25" s="284">
        <f>H25*D25</f>
        <v>15600</v>
      </c>
      <c r="J25" s="285">
        <f>I25+G25</f>
        <v>27100</v>
      </c>
      <c r="K25" s="286"/>
    </row>
    <row r="26" spans="1:11">
      <c r="A26" s="272"/>
      <c r="B26" s="280" t="s">
        <v>485</v>
      </c>
      <c r="C26" s="274"/>
      <c r="D26" s="272"/>
      <c r="E26" s="272"/>
      <c r="F26" s="275"/>
      <c r="G26" s="276"/>
      <c r="H26" s="275"/>
      <c r="I26" s="276"/>
      <c r="J26" s="276"/>
      <c r="K26" s="277"/>
    </row>
    <row r="27" spans="1:11">
      <c r="A27" s="279"/>
      <c r="B27" s="287" t="s">
        <v>85</v>
      </c>
      <c r="C27" s="281" t="s">
        <v>486</v>
      </c>
      <c r="D27" s="288">
        <v>50</v>
      </c>
      <c r="E27" s="282" t="s">
        <v>95</v>
      </c>
      <c r="F27" s="283">
        <v>35</v>
      </c>
      <c r="G27" s="284">
        <f>F27*D27</f>
        <v>1750</v>
      </c>
      <c r="H27" s="283">
        <v>35</v>
      </c>
      <c r="I27" s="284">
        <f>H27*D27</f>
        <v>1750</v>
      </c>
      <c r="J27" s="285">
        <f>I27+G27</f>
        <v>3500</v>
      </c>
      <c r="K27" s="286"/>
    </row>
    <row r="28" spans="1:11">
      <c r="A28" s="279"/>
      <c r="B28" s="287" t="s">
        <v>85</v>
      </c>
      <c r="C28" s="281" t="s">
        <v>176</v>
      </c>
      <c r="D28" s="288">
        <v>1</v>
      </c>
      <c r="E28" s="282" t="s">
        <v>174</v>
      </c>
      <c r="F28" s="283">
        <v>900</v>
      </c>
      <c r="G28" s="284">
        <f>F28*D28</f>
        <v>900</v>
      </c>
      <c r="H28" s="283">
        <v>800</v>
      </c>
      <c r="I28" s="284">
        <f>H28*D28</f>
        <v>800</v>
      </c>
      <c r="J28" s="285">
        <f>I28+G28</f>
        <v>1700</v>
      </c>
      <c r="K28" s="286"/>
    </row>
    <row r="29" spans="1:11">
      <c r="A29" s="279"/>
      <c r="B29" s="281" t="s">
        <v>487</v>
      </c>
      <c r="C29" s="261"/>
      <c r="D29" s="288"/>
      <c r="E29" s="282"/>
      <c r="F29" s="283"/>
      <c r="G29" s="284"/>
      <c r="H29" s="283"/>
      <c r="I29" s="284"/>
      <c r="J29" s="285"/>
      <c r="K29" s="286"/>
    </row>
    <row r="30" spans="1:11">
      <c r="A30" s="279"/>
      <c r="B30" s="287" t="s">
        <v>85</v>
      </c>
      <c r="C30" s="281" t="s">
        <v>488</v>
      </c>
      <c r="D30" s="289">
        <v>8</v>
      </c>
      <c r="E30" s="282" t="s">
        <v>60</v>
      </c>
      <c r="F30" s="283">
        <v>522</v>
      </c>
      <c r="G30" s="284">
        <f>F30*D30</f>
        <v>4176</v>
      </c>
      <c r="H30" s="283">
        <v>163</v>
      </c>
      <c r="I30" s="284">
        <f>H30*D30</f>
        <v>1304</v>
      </c>
      <c r="J30" s="285">
        <f>I30+G30</f>
        <v>5480</v>
      </c>
      <c r="K30" s="286"/>
    </row>
    <row r="31" spans="1:11">
      <c r="A31" s="279"/>
      <c r="B31" s="281" t="s">
        <v>489</v>
      </c>
      <c r="C31" s="261"/>
      <c r="D31" s="288"/>
      <c r="E31" s="282"/>
      <c r="F31" s="283"/>
      <c r="G31" s="284"/>
      <c r="H31" s="283"/>
      <c r="I31" s="284"/>
      <c r="J31" s="285"/>
      <c r="K31" s="286"/>
    </row>
    <row r="32" spans="1:11">
      <c r="A32" s="279"/>
      <c r="B32" s="287" t="s">
        <v>85</v>
      </c>
      <c r="C32" s="281" t="s">
        <v>175</v>
      </c>
      <c r="D32" s="289">
        <v>7</v>
      </c>
      <c r="E32" s="282" t="s">
        <v>60</v>
      </c>
      <c r="F32" s="283">
        <v>950</v>
      </c>
      <c r="G32" s="284">
        <f>F32*D32</f>
        <v>6650</v>
      </c>
      <c r="H32" s="283">
        <v>300</v>
      </c>
      <c r="I32" s="284">
        <f>H32*D32</f>
        <v>2100</v>
      </c>
      <c r="J32" s="285">
        <f>I32+G32</f>
        <v>8750</v>
      </c>
      <c r="K32" s="286"/>
    </row>
    <row r="33" spans="1:22">
      <c r="A33" s="279"/>
      <c r="B33" s="287" t="s">
        <v>85</v>
      </c>
      <c r="C33" s="281" t="s">
        <v>483</v>
      </c>
      <c r="D33" s="289">
        <v>14</v>
      </c>
      <c r="E33" s="282" t="s">
        <v>60</v>
      </c>
      <c r="F33" s="283">
        <v>850</v>
      </c>
      <c r="G33" s="284">
        <f>F33*D33</f>
        <v>11900</v>
      </c>
      <c r="H33" s="283">
        <v>300</v>
      </c>
      <c r="I33" s="284">
        <f>H33*D33</f>
        <v>4200</v>
      </c>
      <c r="J33" s="285">
        <f>I33+G33</f>
        <v>16100</v>
      </c>
      <c r="K33" s="286"/>
    </row>
    <row r="34" spans="1:22" s="298" customFormat="1">
      <c r="A34" s="291"/>
      <c r="B34" s="292" t="s">
        <v>177</v>
      </c>
      <c r="C34" s="292"/>
      <c r="D34" s="293"/>
      <c r="E34" s="294"/>
      <c r="F34" s="295"/>
      <c r="G34" s="296">
        <f t="shared" ref="G34:I34" si="0">SUM(G13:G33)</f>
        <v>130116</v>
      </c>
      <c r="H34" s="296"/>
      <c r="I34" s="296">
        <f t="shared" si="0"/>
        <v>97154</v>
      </c>
      <c r="J34" s="296">
        <f>SUM(J13:J33)</f>
        <v>227270</v>
      </c>
      <c r="K34" s="297"/>
      <c r="P34" s="299"/>
      <c r="Q34" s="299"/>
      <c r="R34" s="299"/>
      <c r="S34" s="299"/>
      <c r="T34" s="299"/>
      <c r="U34" s="299"/>
      <c r="V34" s="299"/>
    </row>
  </sheetData>
  <mergeCells count="4">
    <mergeCell ref="B7:C7"/>
    <mergeCell ref="F7:G7"/>
    <mergeCell ref="H7:I7"/>
    <mergeCell ref="I5:J5"/>
  </mergeCells>
  <phoneticPr fontId="67" type="noConversion"/>
  <printOptions horizontalCentered="1"/>
  <pageMargins left="0.2" right="0.2" top="0.5" bottom="0.5" header="0.3" footer="0.3"/>
  <pageSetup paperSize="9" scale="87" orientation="landscape" horizontalDpi="300" verticalDpi="300" r:id="rId1"/>
  <rowBreaks count="1" manualBreakCount="1">
    <brk id="20" max="10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V50"/>
  <sheetViews>
    <sheetView view="pageBreakPreview" zoomScale="80" zoomScaleNormal="120" zoomScaleSheetLayoutView="80" workbookViewId="0">
      <pane ySplit="6" topLeftCell="A7" activePane="bottomLeft" state="frozen"/>
      <selection activeCell="F45" sqref="F45"/>
      <selection pane="bottomLeft" activeCell="R7" sqref="R7"/>
    </sheetView>
  </sheetViews>
  <sheetFormatPr defaultColWidth="9.140625" defaultRowHeight="21.75"/>
  <cols>
    <col min="1" max="2" width="6.140625" style="119" customWidth="1"/>
    <col min="3" max="3" width="55.7109375" style="119" customWidth="1"/>
    <col min="4" max="4" width="10.7109375" style="119" customWidth="1"/>
    <col min="5" max="5" width="8.7109375" style="119" customWidth="1"/>
    <col min="6" max="8" width="15.7109375" style="119" customWidth="1"/>
    <col min="9" max="9" width="13.7109375" style="119" customWidth="1"/>
    <col min="10" max="10" width="18.7109375" style="119" customWidth="1"/>
    <col min="11" max="11" width="13.5703125" style="119" customWidth="1"/>
    <col min="12" max="16384" width="9.140625" style="119"/>
  </cols>
  <sheetData>
    <row r="1" spans="1:256" s="1" customFormat="1">
      <c r="A1" s="68" t="s">
        <v>401</v>
      </c>
      <c r="B1" s="68"/>
      <c r="C1" s="68" t="str">
        <f ca="1">'1.1.ST'!C1</f>
        <v>งานออกแบบและก่อสร้าง  กองอาคารและสถานที่ มหาวิทยาลัยขอนแก่น</v>
      </c>
      <c r="D1" s="68"/>
      <c r="E1" s="68"/>
      <c r="F1" s="68"/>
      <c r="G1" s="68"/>
      <c r="H1" s="68"/>
      <c r="I1" s="68" t="s">
        <v>43</v>
      </c>
      <c r="J1" s="68" t="s">
        <v>44</v>
      </c>
      <c r="K1" s="68"/>
    </row>
    <row r="2" spans="1:256" s="1" customFormat="1">
      <c r="A2" s="634" t="str">
        <f>' ปร.6'!A3</f>
        <v>ชื่อโครง  โครงการปรับปรุงห้องปฏิบัติการเคมี อาคาร sc.04 คณะวิทยาศาสตร์</v>
      </c>
      <c r="B2" s="634"/>
      <c r="C2" s="634"/>
      <c r="D2" s="68"/>
      <c r="E2" s="68"/>
      <c r="F2" s="68"/>
      <c r="G2" s="68"/>
      <c r="H2" s="68"/>
      <c r="I2" s="68"/>
      <c r="J2" s="68"/>
      <c r="K2" s="68"/>
    </row>
    <row r="3" spans="1:256" s="1" customFormat="1">
      <c r="A3" s="68" t="s">
        <v>88</v>
      </c>
      <c r="B3" s="68"/>
      <c r="C3" s="519" t="s">
        <v>54</v>
      </c>
      <c r="D3" s="68" t="s">
        <v>6</v>
      </c>
      <c r="E3" s="68"/>
      <c r="F3" s="68"/>
      <c r="G3" s="68"/>
      <c r="H3" s="68" t="s">
        <v>45</v>
      </c>
      <c r="I3" s="68"/>
      <c r="J3" s="68"/>
      <c r="K3" s="68"/>
    </row>
    <row r="4" spans="1:256" s="1" customFormat="1">
      <c r="A4" s="68" t="s">
        <v>46</v>
      </c>
      <c r="B4" s="68"/>
      <c r="C4" s="519" t="str">
        <f ca="1">'1.1.ST'!C4</f>
        <v>งานออกแบบและก่อสร้าง</v>
      </c>
      <c r="D4" s="68" t="s">
        <v>47</v>
      </c>
      <c r="E4" s="68" t="s">
        <v>61</v>
      </c>
      <c r="F4" s="68"/>
      <c r="G4" s="68"/>
      <c r="H4" s="68" t="s">
        <v>48</v>
      </c>
      <c r="I4" s="68"/>
      <c r="J4" s="68"/>
      <c r="K4" s="68"/>
    </row>
    <row r="5" spans="1:256" s="1" customFormat="1">
      <c r="A5" s="68" t="s">
        <v>182</v>
      </c>
      <c r="B5" s="68"/>
      <c r="C5" s="519"/>
      <c r="D5" s="68"/>
      <c r="E5" s="68"/>
      <c r="F5" s="68"/>
      <c r="G5" s="68"/>
      <c r="H5" s="69" t="s">
        <v>52</v>
      </c>
      <c r="I5" s="661"/>
      <c r="J5" s="661"/>
      <c r="K5" s="68" t="s">
        <v>22</v>
      </c>
    </row>
    <row r="6" spans="1:256" s="2" customFormat="1" ht="22.5" customHeight="1" thickBot="1">
      <c r="A6" s="6"/>
      <c r="B6" s="6"/>
      <c r="C6" s="7"/>
      <c r="D6" s="8"/>
      <c r="E6" s="8"/>
      <c r="F6" s="70"/>
      <c r="G6" s="71"/>
      <c r="H6" s="71"/>
      <c r="I6" s="70"/>
      <c r="J6" s="70"/>
      <c r="K6" s="7"/>
    </row>
    <row r="7" spans="1:256">
      <c r="A7" s="72" t="s">
        <v>49</v>
      </c>
      <c r="B7" s="73" t="s">
        <v>1</v>
      </c>
      <c r="C7" s="73"/>
      <c r="D7" s="74" t="s">
        <v>2</v>
      </c>
      <c r="E7" s="74" t="s">
        <v>3</v>
      </c>
      <c r="F7" s="131" t="s">
        <v>23</v>
      </c>
      <c r="G7" s="130"/>
      <c r="H7" s="131" t="s">
        <v>4</v>
      </c>
      <c r="I7" s="130"/>
      <c r="J7" s="129" t="s">
        <v>50</v>
      </c>
      <c r="K7" s="75" t="s">
        <v>5</v>
      </c>
    </row>
    <row r="8" spans="1:256" ht="22.5" thickBot="1">
      <c r="A8" s="76"/>
      <c r="B8" s="77"/>
      <c r="C8" s="78"/>
      <c r="D8" s="79"/>
      <c r="E8" s="79"/>
      <c r="F8" s="128" t="s">
        <v>51</v>
      </c>
      <c r="G8" s="128" t="s">
        <v>13</v>
      </c>
      <c r="H8" s="128" t="s">
        <v>51</v>
      </c>
      <c r="I8" s="128" t="s">
        <v>13</v>
      </c>
      <c r="J8" s="127"/>
      <c r="K8" s="80"/>
    </row>
    <row r="9" spans="1:256">
      <c r="A9" s="10"/>
      <c r="B9" s="680" t="s">
        <v>126</v>
      </c>
      <c r="C9" s="681"/>
      <c r="D9" s="125"/>
      <c r="E9" s="124"/>
      <c r="F9" s="122"/>
      <c r="G9" s="123"/>
      <c r="H9" s="122"/>
      <c r="I9" s="122"/>
      <c r="J9" s="121"/>
      <c r="K9" s="120"/>
    </row>
    <row r="10" spans="1:256" s="402" customFormat="1">
      <c r="A10" s="393">
        <v>2.1</v>
      </c>
      <c r="B10" s="394" t="s">
        <v>79</v>
      </c>
      <c r="C10" s="395"/>
      <c r="D10" s="396"/>
      <c r="E10" s="397"/>
      <c r="F10" s="398"/>
      <c r="G10" s="399"/>
      <c r="H10" s="398"/>
      <c r="I10" s="398"/>
      <c r="J10" s="400"/>
      <c r="K10" s="401"/>
    </row>
    <row r="11" spans="1:256" s="383" customFormat="1">
      <c r="A11" s="374" t="s">
        <v>125</v>
      </c>
      <c r="B11" s="375" t="s">
        <v>105</v>
      </c>
      <c r="C11" s="376"/>
      <c r="D11" s="377"/>
      <c r="E11" s="378"/>
      <c r="F11" s="379"/>
      <c r="G11" s="380"/>
      <c r="H11" s="381"/>
      <c r="I11" s="381"/>
      <c r="J11" s="381"/>
      <c r="K11" s="382"/>
    </row>
    <row r="12" spans="1:256" ht="43.5">
      <c r="A12" s="9"/>
      <c r="B12" s="115" t="s">
        <v>85</v>
      </c>
      <c r="C12" s="114" t="s">
        <v>356</v>
      </c>
      <c r="D12" s="113">
        <f>11+11+11+10</f>
        <v>43</v>
      </c>
      <c r="E12" s="91" t="s">
        <v>81</v>
      </c>
      <c r="F12" s="112">
        <v>1980</v>
      </c>
      <c r="G12" s="113">
        <f t="shared" ref="G12:G13" si="0">F12*D12</f>
        <v>85140</v>
      </c>
      <c r="H12" s="111">
        <v>0</v>
      </c>
      <c r="I12" s="113">
        <f t="shared" ref="I12:I13" si="1">H12*D12</f>
        <v>0</v>
      </c>
      <c r="J12" s="113">
        <f t="shared" ref="J12:J13" si="2">G12+I12</f>
        <v>85140</v>
      </c>
      <c r="K12" s="120"/>
    </row>
    <row r="13" spans="1:256">
      <c r="A13" s="9"/>
      <c r="B13" s="115" t="s">
        <v>85</v>
      </c>
      <c r="C13" s="114" t="s">
        <v>357</v>
      </c>
      <c r="D13" s="113">
        <f>9+9+9+10</f>
        <v>37</v>
      </c>
      <c r="E13" s="91" t="s">
        <v>81</v>
      </c>
      <c r="F13" s="112">
        <v>2650</v>
      </c>
      <c r="G13" s="113">
        <f t="shared" si="0"/>
        <v>98050</v>
      </c>
      <c r="H13" s="111">
        <v>0</v>
      </c>
      <c r="I13" s="113">
        <f t="shared" si="1"/>
        <v>0</v>
      </c>
      <c r="J13" s="113">
        <f t="shared" si="2"/>
        <v>98050</v>
      </c>
      <c r="K13" s="120"/>
    </row>
    <row r="14" spans="1:256" s="465" customFormat="1">
      <c r="A14" s="459"/>
      <c r="B14" s="676" t="str">
        <f>""&amp;A11&amp;" "&amp;B11</f>
        <v>2.1.1 RECEPTACLE BOX</v>
      </c>
      <c r="C14" s="677"/>
      <c r="D14" s="460"/>
      <c r="E14" s="461"/>
      <c r="F14" s="462"/>
      <c r="G14" s="463">
        <f>SUM(G12:G13)</f>
        <v>183190</v>
      </c>
      <c r="H14" s="463"/>
      <c r="I14" s="463">
        <f>SUM(I12:I13)</f>
        <v>0</v>
      </c>
      <c r="J14" s="462">
        <f>SUM(J12:J13)</f>
        <v>183190</v>
      </c>
      <c r="K14" s="464"/>
      <c r="L14" s="373"/>
      <c r="M14" s="373"/>
      <c r="N14" s="373"/>
      <c r="O14" s="373"/>
      <c r="P14" s="373"/>
      <c r="Q14" s="373"/>
      <c r="R14" s="373"/>
      <c r="S14" s="373"/>
      <c r="T14" s="373"/>
      <c r="U14" s="373"/>
      <c r="V14" s="373"/>
      <c r="W14" s="373"/>
      <c r="X14" s="373"/>
      <c r="Y14" s="373"/>
      <c r="Z14" s="373"/>
      <c r="AA14" s="373"/>
      <c r="AB14" s="373"/>
      <c r="AC14" s="373"/>
      <c r="AD14" s="373"/>
      <c r="AE14" s="373"/>
      <c r="AF14" s="373"/>
      <c r="AG14" s="373"/>
      <c r="AH14" s="373"/>
      <c r="AI14" s="373"/>
      <c r="AJ14" s="373"/>
      <c r="AK14" s="373"/>
      <c r="AL14" s="373"/>
      <c r="AM14" s="373"/>
      <c r="AN14" s="373"/>
      <c r="AO14" s="373"/>
      <c r="AP14" s="373"/>
      <c r="AQ14" s="373"/>
      <c r="AR14" s="373"/>
      <c r="AS14" s="373"/>
      <c r="AT14" s="373"/>
      <c r="AU14" s="373"/>
      <c r="AV14" s="373"/>
      <c r="AW14" s="373"/>
      <c r="AX14" s="373"/>
      <c r="AY14" s="373"/>
      <c r="AZ14" s="373"/>
      <c r="BA14" s="373"/>
      <c r="BB14" s="373"/>
      <c r="BC14" s="373"/>
      <c r="BD14" s="373"/>
      <c r="BE14" s="373"/>
      <c r="BF14" s="373"/>
      <c r="BG14" s="373"/>
      <c r="BH14" s="373"/>
      <c r="BI14" s="373"/>
      <c r="BJ14" s="373"/>
      <c r="BK14" s="373"/>
      <c r="BL14" s="373"/>
      <c r="BM14" s="373"/>
      <c r="BN14" s="373"/>
      <c r="BO14" s="373"/>
      <c r="BP14" s="373"/>
      <c r="BQ14" s="373"/>
      <c r="BR14" s="373"/>
      <c r="BS14" s="373"/>
      <c r="BT14" s="373"/>
      <c r="BU14" s="373"/>
      <c r="BV14" s="373"/>
      <c r="BW14" s="373"/>
      <c r="BX14" s="373"/>
      <c r="BY14" s="373"/>
      <c r="BZ14" s="373"/>
      <c r="CA14" s="373"/>
      <c r="CB14" s="373"/>
      <c r="CC14" s="373"/>
      <c r="CD14" s="373"/>
      <c r="CE14" s="373"/>
      <c r="CF14" s="373"/>
      <c r="CG14" s="373"/>
      <c r="CH14" s="373"/>
      <c r="CI14" s="373"/>
      <c r="CJ14" s="373"/>
      <c r="CK14" s="373"/>
      <c r="CL14" s="373"/>
      <c r="CM14" s="373"/>
      <c r="CN14" s="373"/>
      <c r="CO14" s="373"/>
      <c r="CP14" s="373"/>
      <c r="CQ14" s="373"/>
      <c r="CR14" s="373"/>
      <c r="CS14" s="373"/>
      <c r="CT14" s="373"/>
      <c r="CU14" s="373"/>
      <c r="CV14" s="373"/>
      <c r="CW14" s="373"/>
      <c r="CX14" s="373"/>
      <c r="CY14" s="373"/>
      <c r="CZ14" s="373"/>
      <c r="DA14" s="373"/>
      <c r="DB14" s="373"/>
      <c r="DC14" s="373"/>
      <c r="DD14" s="373"/>
      <c r="DE14" s="373"/>
      <c r="DF14" s="373"/>
      <c r="DG14" s="373"/>
      <c r="DH14" s="373"/>
      <c r="DI14" s="373"/>
      <c r="DJ14" s="373"/>
      <c r="DK14" s="373"/>
      <c r="DL14" s="373"/>
      <c r="DM14" s="373"/>
      <c r="DN14" s="373"/>
      <c r="DO14" s="373"/>
      <c r="DP14" s="373"/>
      <c r="DQ14" s="373"/>
      <c r="DR14" s="373"/>
      <c r="DS14" s="373"/>
      <c r="DT14" s="373"/>
      <c r="DU14" s="373"/>
      <c r="DV14" s="373"/>
      <c r="DW14" s="373"/>
      <c r="DX14" s="373"/>
      <c r="DY14" s="373"/>
      <c r="DZ14" s="373"/>
      <c r="EA14" s="373"/>
      <c r="EB14" s="373"/>
      <c r="EC14" s="373"/>
      <c r="ED14" s="373"/>
      <c r="EE14" s="373"/>
      <c r="EF14" s="373"/>
      <c r="EG14" s="373"/>
      <c r="EH14" s="373"/>
      <c r="EI14" s="373"/>
      <c r="EJ14" s="373"/>
      <c r="EK14" s="373"/>
      <c r="EL14" s="373"/>
      <c r="EM14" s="373"/>
      <c r="EN14" s="373"/>
      <c r="EO14" s="373"/>
      <c r="EP14" s="373"/>
      <c r="EQ14" s="373"/>
      <c r="ER14" s="373"/>
      <c r="ES14" s="373"/>
      <c r="ET14" s="373"/>
      <c r="EU14" s="373"/>
      <c r="EV14" s="373"/>
      <c r="EW14" s="373"/>
      <c r="EX14" s="373"/>
      <c r="EY14" s="373"/>
      <c r="EZ14" s="373"/>
      <c r="FA14" s="373"/>
      <c r="FB14" s="373"/>
      <c r="FC14" s="373"/>
      <c r="FD14" s="373"/>
      <c r="FE14" s="373"/>
      <c r="FF14" s="373"/>
      <c r="FG14" s="373"/>
      <c r="FH14" s="373"/>
      <c r="FI14" s="373"/>
      <c r="FJ14" s="373"/>
      <c r="FK14" s="373"/>
      <c r="FL14" s="373"/>
      <c r="FM14" s="373"/>
      <c r="FN14" s="373"/>
      <c r="FO14" s="373"/>
      <c r="FP14" s="373"/>
      <c r="FQ14" s="373"/>
      <c r="FR14" s="373"/>
      <c r="FS14" s="373"/>
      <c r="FT14" s="373"/>
      <c r="FU14" s="373"/>
      <c r="FV14" s="373"/>
      <c r="FW14" s="373"/>
      <c r="FX14" s="373"/>
      <c r="FY14" s="373"/>
      <c r="FZ14" s="373"/>
      <c r="GA14" s="373"/>
      <c r="GB14" s="373"/>
      <c r="GC14" s="373"/>
      <c r="GD14" s="373"/>
      <c r="GE14" s="373"/>
      <c r="GF14" s="373"/>
      <c r="GG14" s="373"/>
      <c r="GH14" s="373"/>
      <c r="GI14" s="373"/>
      <c r="GJ14" s="373"/>
      <c r="GK14" s="373"/>
      <c r="GL14" s="373"/>
      <c r="GM14" s="373"/>
      <c r="GN14" s="373"/>
      <c r="GO14" s="373"/>
      <c r="GP14" s="373"/>
      <c r="GQ14" s="373"/>
      <c r="GR14" s="373"/>
      <c r="GS14" s="373"/>
      <c r="GT14" s="373"/>
      <c r="GU14" s="373"/>
      <c r="GV14" s="373"/>
      <c r="GW14" s="373"/>
      <c r="GX14" s="373"/>
      <c r="GY14" s="373"/>
      <c r="GZ14" s="373"/>
      <c r="HA14" s="373"/>
      <c r="HB14" s="373"/>
      <c r="HC14" s="373"/>
      <c r="HD14" s="373"/>
      <c r="HE14" s="373"/>
      <c r="HF14" s="373"/>
      <c r="HG14" s="373"/>
      <c r="HH14" s="373"/>
      <c r="HI14" s="373"/>
      <c r="HJ14" s="373"/>
      <c r="HK14" s="373"/>
      <c r="HL14" s="373"/>
      <c r="HM14" s="373"/>
      <c r="HN14" s="373"/>
      <c r="HO14" s="373"/>
      <c r="HP14" s="373"/>
      <c r="HQ14" s="373"/>
      <c r="HR14" s="373"/>
      <c r="HS14" s="373"/>
      <c r="HT14" s="373"/>
      <c r="HU14" s="373"/>
      <c r="HV14" s="373"/>
      <c r="HW14" s="373"/>
      <c r="HX14" s="373"/>
      <c r="HY14" s="373"/>
      <c r="HZ14" s="373"/>
      <c r="IA14" s="373"/>
      <c r="IB14" s="373"/>
      <c r="IC14" s="373"/>
      <c r="ID14" s="373"/>
      <c r="IE14" s="373"/>
      <c r="IF14" s="373"/>
      <c r="IG14" s="373"/>
      <c r="IH14" s="373"/>
      <c r="II14" s="373"/>
      <c r="IJ14" s="373"/>
      <c r="IK14" s="373"/>
      <c r="IL14" s="373"/>
      <c r="IM14" s="373"/>
      <c r="IN14" s="373"/>
      <c r="IO14" s="373"/>
      <c r="IP14" s="373"/>
      <c r="IQ14" s="373"/>
      <c r="IR14" s="373"/>
      <c r="IS14" s="373"/>
      <c r="IT14" s="373"/>
      <c r="IU14" s="373"/>
      <c r="IV14" s="373"/>
    </row>
    <row r="15" spans="1:256" s="392" customFormat="1">
      <c r="A15" s="374" t="s">
        <v>397</v>
      </c>
      <c r="B15" s="384" t="s">
        <v>107</v>
      </c>
      <c r="C15" s="385"/>
      <c r="D15" s="386"/>
      <c r="E15" s="387"/>
      <c r="F15" s="388"/>
      <c r="G15" s="389"/>
      <c r="H15" s="388"/>
      <c r="I15" s="388"/>
      <c r="J15" s="390"/>
      <c r="K15" s="391"/>
    </row>
    <row r="16" spans="1:256" ht="43.5">
      <c r="A16" s="9"/>
      <c r="B16" s="115" t="s">
        <v>85</v>
      </c>
      <c r="C16" s="132" t="s">
        <v>359</v>
      </c>
      <c r="D16" s="113">
        <v>5</v>
      </c>
      <c r="E16" s="91" t="s">
        <v>81</v>
      </c>
      <c r="F16" s="112">
        <v>37500</v>
      </c>
      <c r="G16" s="113">
        <f t="shared" ref="G16:G21" si="3">F16*D16</f>
        <v>187500</v>
      </c>
      <c r="H16" s="111">
        <v>0</v>
      </c>
      <c r="I16" s="113">
        <f t="shared" ref="I16:I21" si="4">H16*D16</f>
        <v>0</v>
      </c>
      <c r="J16" s="113">
        <f t="shared" ref="J16:J21" si="5">G16+I16</f>
        <v>187500</v>
      </c>
      <c r="K16" s="120"/>
    </row>
    <row r="17" spans="1:256" ht="43.5">
      <c r="A17" s="9"/>
      <c r="B17" s="115" t="s">
        <v>85</v>
      </c>
      <c r="C17" s="132" t="s">
        <v>360</v>
      </c>
      <c r="D17" s="113">
        <v>5</v>
      </c>
      <c r="E17" s="91" t="s">
        <v>81</v>
      </c>
      <c r="F17" s="112">
        <v>28500</v>
      </c>
      <c r="G17" s="113">
        <f t="shared" si="3"/>
        <v>142500</v>
      </c>
      <c r="H17" s="111">
        <v>0</v>
      </c>
      <c r="I17" s="113">
        <f t="shared" si="4"/>
        <v>0</v>
      </c>
      <c r="J17" s="113">
        <f t="shared" si="5"/>
        <v>142500</v>
      </c>
      <c r="K17" s="120"/>
    </row>
    <row r="18" spans="1:256">
      <c r="A18" s="9"/>
      <c r="B18" s="115"/>
      <c r="C18" s="354" t="s">
        <v>434</v>
      </c>
      <c r="D18" s="352">
        <v>4</v>
      </c>
      <c r="E18" s="351" t="s">
        <v>81</v>
      </c>
      <c r="F18" s="353">
        <v>55000</v>
      </c>
      <c r="G18" s="113">
        <f t="shared" si="3"/>
        <v>220000</v>
      </c>
      <c r="H18" s="353">
        <v>0</v>
      </c>
      <c r="I18" s="353">
        <v>0</v>
      </c>
      <c r="J18" s="113">
        <f t="shared" si="5"/>
        <v>220000</v>
      </c>
      <c r="K18" s="120"/>
    </row>
    <row r="19" spans="1:256">
      <c r="A19" s="9"/>
      <c r="B19" s="115" t="s">
        <v>85</v>
      </c>
      <c r="C19" s="132" t="s">
        <v>361</v>
      </c>
      <c r="D19" s="113">
        <v>7</v>
      </c>
      <c r="E19" s="91" t="s">
        <v>81</v>
      </c>
      <c r="F19" s="112">
        <v>5500</v>
      </c>
      <c r="G19" s="113">
        <f t="shared" si="3"/>
        <v>38500</v>
      </c>
      <c r="H19" s="111">
        <v>0</v>
      </c>
      <c r="I19" s="113">
        <f t="shared" si="4"/>
        <v>0</v>
      </c>
      <c r="J19" s="113">
        <f t="shared" si="5"/>
        <v>38500</v>
      </c>
      <c r="K19" s="120"/>
    </row>
    <row r="20" spans="1:256" s="5" customFormat="1" ht="32.25" customHeight="1">
      <c r="A20" s="350"/>
      <c r="B20" s="355" t="s">
        <v>85</v>
      </c>
      <c r="C20" s="524" t="s">
        <v>534</v>
      </c>
      <c r="D20" s="352">
        <v>78</v>
      </c>
      <c r="E20" s="351" t="s">
        <v>81</v>
      </c>
      <c r="F20" s="353">
        <v>1650</v>
      </c>
      <c r="G20" s="353">
        <f t="shared" ref="G20" si="6">D20*F20</f>
        <v>128700</v>
      </c>
      <c r="H20" s="353">
        <v>0</v>
      </c>
      <c r="I20" s="353">
        <f t="shared" ref="I20" si="7">D20*H20</f>
        <v>0</v>
      </c>
      <c r="J20" s="353">
        <f t="shared" si="5"/>
        <v>128700</v>
      </c>
      <c r="K20" s="351"/>
    </row>
    <row r="21" spans="1:256">
      <c r="A21" s="9"/>
      <c r="B21" s="115" t="s">
        <v>85</v>
      </c>
      <c r="C21" s="132" t="s">
        <v>362</v>
      </c>
      <c r="D21" s="113">
        <f>5+5+4+9+5+2+3</f>
        <v>33</v>
      </c>
      <c r="E21" s="91" t="s">
        <v>81</v>
      </c>
      <c r="F21" s="112">
        <v>2500</v>
      </c>
      <c r="G21" s="113">
        <f t="shared" si="3"/>
        <v>82500</v>
      </c>
      <c r="H21" s="111">
        <v>0</v>
      </c>
      <c r="I21" s="113">
        <f t="shared" si="4"/>
        <v>0</v>
      </c>
      <c r="J21" s="113">
        <f t="shared" si="5"/>
        <v>82500</v>
      </c>
      <c r="K21" s="120"/>
    </row>
    <row r="22" spans="1:256" s="465" customFormat="1">
      <c r="A22" s="459"/>
      <c r="B22" s="676" t="str">
        <f>""&amp;A15&amp;" "&amp;B15</f>
        <v>2.1.2 AIR CONDITIONER SYSTEM</v>
      </c>
      <c r="C22" s="677"/>
      <c r="D22" s="460"/>
      <c r="E22" s="461"/>
      <c r="F22" s="462"/>
      <c r="G22" s="463">
        <f>SUM(G16:G21)</f>
        <v>799700</v>
      </c>
      <c r="H22" s="463"/>
      <c r="I22" s="463">
        <f>SUM(I16:I21)</f>
        <v>0</v>
      </c>
      <c r="J22" s="462">
        <f>SUM(J16:J21)</f>
        <v>799700</v>
      </c>
      <c r="K22" s="464"/>
      <c r="L22" s="373"/>
      <c r="M22" s="373"/>
      <c r="N22" s="373"/>
      <c r="O22" s="373"/>
      <c r="P22" s="373"/>
      <c r="Q22" s="373"/>
      <c r="R22" s="373"/>
      <c r="S22" s="373"/>
      <c r="T22" s="373"/>
      <c r="U22" s="373"/>
      <c r="V22" s="373"/>
      <c r="W22" s="373"/>
      <c r="X22" s="373"/>
      <c r="Y22" s="373"/>
      <c r="Z22" s="373"/>
      <c r="AA22" s="373"/>
      <c r="AB22" s="373"/>
      <c r="AC22" s="373"/>
      <c r="AD22" s="373"/>
      <c r="AE22" s="373"/>
      <c r="AF22" s="373"/>
      <c r="AG22" s="373"/>
      <c r="AH22" s="373"/>
      <c r="AI22" s="373"/>
      <c r="AJ22" s="373"/>
      <c r="AK22" s="373"/>
      <c r="AL22" s="373"/>
      <c r="AM22" s="373"/>
      <c r="AN22" s="373"/>
      <c r="AO22" s="373"/>
      <c r="AP22" s="373"/>
      <c r="AQ22" s="373"/>
      <c r="AR22" s="373"/>
      <c r="AS22" s="373"/>
      <c r="AT22" s="373"/>
      <c r="AU22" s="373"/>
      <c r="AV22" s="373"/>
      <c r="AW22" s="373"/>
      <c r="AX22" s="373"/>
      <c r="AY22" s="373"/>
      <c r="AZ22" s="373"/>
      <c r="BA22" s="373"/>
      <c r="BB22" s="373"/>
      <c r="BC22" s="373"/>
      <c r="BD22" s="373"/>
      <c r="BE22" s="373"/>
      <c r="BF22" s="373"/>
      <c r="BG22" s="373"/>
      <c r="BH22" s="373"/>
      <c r="BI22" s="373"/>
      <c r="BJ22" s="373"/>
      <c r="BK22" s="373"/>
      <c r="BL22" s="373"/>
      <c r="BM22" s="373"/>
      <c r="BN22" s="373"/>
      <c r="BO22" s="373"/>
      <c r="BP22" s="373"/>
      <c r="BQ22" s="373"/>
      <c r="BR22" s="373"/>
      <c r="BS22" s="373"/>
      <c r="BT22" s="373"/>
      <c r="BU22" s="373"/>
      <c r="BV22" s="373"/>
      <c r="BW22" s="373"/>
      <c r="BX22" s="373"/>
      <c r="BY22" s="373"/>
      <c r="BZ22" s="373"/>
      <c r="CA22" s="373"/>
      <c r="CB22" s="373"/>
      <c r="CC22" s="373"/>
      <c r="CD22" s="373"/>
      <c r="CE22" s="373"/>
      <c r="CF22" s="373"/>
      <c r="CG22" s="373"/>
      <c r="CH22" s="373"/>
      <c r="CI22" s="373"/>
      <c r="CJ22" s="373"/>
      <c r="CK22" s="373"/>
      <c r="CL22" s="373"/>
      <c r="CM22" s="373"/>
      <c r="CN22" s="373"/>
      <c r="CO22" s="373"/>
      <c r="CP22" s="373"/>
      <c r="CQ22" s="373"/>
      <c r="CR22" s="373"/>
      <c r="CS22" s="373"/>
      <c r="CT22" s="373"/>
      <c r="CU22" s="373"/>
      <c r="CV22" s="373"/>
      <c r="CW22" s="373"/>
      <c r="CX22" s="373"/>
      <c r="CY22" s="373"/>
      <c r="CZ22" s="373"/>
      <c r="DA22" s="373"/>
      <c r="DB22" s="373"/>
      <c r="DC22" s="373"/>
      <c r="DD22" s="373"/>
      <c r="DE22" s="373"/>
      <c r="DF22" s="373"/>
      <c r="DG22" s="373"/>
      <c r="DH22" s="373"/>
      <c r="DI22" s="373"/>
      <c r="DJ22" s="373"/>
      <c r="DK22" s="373"/>
      <c r="DL22" s="373"/>
      <c r="DM22" s="373"/>
      <c r="DN22" s="373"/>
      <c r="DO22" s="373"/>
      <c r="DP22" s="373"/>
      <c r="DQ22" s="373"/>
      <c r="DR22" s="373"/>
      <c r="DS22" s="373"/>
      <c r="DT22" s="373"/>
      <c r="DU22" s="373"/>
      <c r="DV22" s="373"/>
      <c r="DW22" s="373"/>
      <c r="DX22" s="373"/>
      <c r="DY22" s="373"/>
      <c r="DZ22" s="373"/>
      <c r="EA22" s="373"/>
      <c r="EB22" s="373"/>
      <c r="EC22" s="373"/>
      <c r="ED22" s="373"/>
      <c r="EE22" s="373"/>
      <c r="EF22" s="373"/>
      <c r="EG22" s="373"/>
      <c r="EH22" s="373"/>
      <c r="EI22" s="373"/>
      <c r="EJ22" s="373"/>
      <c r="EK22" s="373"/>
      <c r="EL22" s="373"/>
      <c r="EM22" s="373"/>
      <c r="EN22" s="373"/>
      <c r="EO22" s="373"/>
      <c r="EP22" s="373"/>
      <c r="EQ22" s="373"/>
      <c r="ER22" s="373"/>
      <c r="ES22" s="373"/>
      <c r="ET22" s="373"/>
      <c r="EU22" s="373"/>
      <c r="EV22" s="373"/>
      <c r="EW22" s="373"/>
      <c r="EX22" s="373"/>
      <c r="EY22" s="373"/>
      <c r="EZ22" s="373"/>
      <c r="FA22" s="373"/>
      <c r="FB22" s="373"/>
      <c r="FC22" s="373"/>
      <c r="FD22" s="373"/>
      <c r="FE22" s="373"/>
      <c r="FF22" s="373"/>
      <c r="FG22" s="373"/>
      <c r="FH22" s="373"/>
      <c r="FI22" s="373"/>
      <c r="FJ22" s="373"/>
      <c r="FK22" s="373"/>
      <c r="FL22" s="373"/>
      <c r="FM22" s="373"/>
      <c r="FN22" s="373"/>
      <c r="FO22" s="373"/>
      <c r="FP22" s="373"/>
      <c r="FQ22" s="373"/>
      <c r="FR22" s="373"/>
      <c r="FS22" s="373"/>
      <c r="FT22" s="373"/>
      <c r="FU22" s="373"/>
      <c r="FV22" s="373"/>
      <c r="FW22" s="373"/>
      <c r="FX22" s="373"/>
      <c r="FY22" s="373"/>
      <c r="FZ22" s="373"/>
      <c r="GA22" s="373"/>
      <c r="GB22" s="373"/>
      <c r="GC22" s="373"/>
      <c r="GD22" s="373"/>
      <c r="GE22" s="373"/>
      <c r="GF22" s="373"/>
      <c r="GG22" s="373"/>
      <c r="GH22" s="373"/>
      <c r="GI22" s="373"/>
      <c r="GJ22" s="373"/>
      <c r="GK22" s="373"/>
      <c r="GL22" s="373"/>
      <c r="GM22" s="373"/>
      <c r="GN22" s="373"/>
      <c r="GO22" s="373"/>
      <c r="GP22" s="373"/>
      <c r="GQ22" s="373"/>
      <c r="GR22" s="373"/>
      <c r="GS22" s="373"/>
      <c r="GT22" s="373"/>
      <c r="GU22" s="373"/>
      <c r="GV22" s="373"/>
      <c r="GW22" s="373"/>
      <c r="GX22" s="373"/>
      <c r="GY22" s="373"/>
      <c r="GZ22" s="373"/>
      <c r="HA22" s="373"/>
      <c r="HB22" s="373"/>
      <c r="HC22" s="373"/>
      <c r="HD22" s="373"/>
      <c r="HE22" s="373"/>
      <c r="HF22" s="373"/>
      <c r="HG22" s="373"/>
      <c r="HH22" s="373"/>
      <c r="HI22" s="373"/>
      <c r="HJ22" s="373"/>
      <c r="HK22" s="373"/>
      <c r="HL22" s="373"/>
      <c r="HM22" s="373"/>
      <c r="HN22" s="373"/>
      <c r="HO22" s="373"/>
      <c r="HP22" s="373"/>
      <c r="HQ22" s="373"/>
      <c r="HR22" s="373"/>
      <c r="HS22" s="373"/>
      <c r="HT22" s="373"/>
      <c r="HU22" s="373"/>
      <c r="HV22" s="373"/>
      <c r="HW22" s="373"/>
      <c r="HX22" s="373"/>
      <c r="HY22" s="373"/>
      <c r="HZ22" s="373"/>
      <c r="IA22" s="373"/>
      <c r="IB22" s="373"/>
      <c r="IC22" s="373"/>
      <c r="ID22" s="373"/>
      <c r="IE22" s="373"/>
      <c r="IF22" s="373"/>
      <c r="IG22" s="373"/>
      <c r="IH22" s="373"/>
      <c r="II22" s="373"/>
      <c r="IJ22" s="373"/>
      <c r="IK22" s="373"/>
      <c r="IL22" s="373"/>
      <c r="IM22" s="373"/>
      <c r="IN22" s="373"/>
      <c r="IO22" s="373"/>
      <c r="IP22" s="373"/>
      <c r="IQ22" s="373"/>
      <c r="IR22" s="373"/>
      <c r="IS22" s="373"/>
      <c r="IT22" s="373"/>
      <c r="IU22" s="373"/>
      <c r="IV22" s="373"/>
    </row>
    <row r="23" spans="1:256" s="392" customFormat="1">
      <c r="A23" s="374" t="s">
        <v>398</v>
      </c>
      <c r="B23" s="384" t="s">
        <v>371</v>
      </c>
      <c r="C23" s="385"/>
      <c r="D23" s="386"/>
      <c r="E23" s="387"/>
      <c r="F23" s="388"/>
      <c r="G23" s="389"/>
      <c r="H23" s="388"/>
      <c r="I23" s="388"/>
      <c r="J23" s="390"/>
      <c r="K23" s="391"/>
    </row>
    <row r="24" spans="1:256" s="109" customFormat="1">
      <c r="A24" s="110"/>
      <c r="B24" s="115" t="s">
        <v>85</v>
      </c>
      <c r="C24" s="90" t="s">
        <v>372</v>
      </c>
      <c r="D24" s="356">
        <v>1</v>
      </c>
      <c r="E24" s="89" t="s">
        <v>81</v>
      </c>
      <c r="F24" s="357">
        <v>39500</v>
      </c>
      <c r="G24" s="358">
        <f t="shared" ref="G24:G25" si="8">F24*D24</f>
        <v>39500</v>
      </c>
      <c r="H24" s="358">
        <v>0</v>
      </c>
      <c r="I24" s="358">
        <f t="shared" ref="I24:I25" si="9">H24*D24</f>
        <v>0</v>
      </c>
      <c r="J24" s="358">
        <f t="shared" ref="J24:J25" si="10">G24+I24</f>
        <v>39500</v>
      </c>
      <c r="K24" s="11"/>
    </row>
    <row r="25" spans="1:256" s="109" customFormat="1">
      <c r="A25" s="110"/>
      <c r="B25" s="115" t="s">
        <v>85</v>
      </c>
      <c r="C25" s="359" t="s">
        <v>373</v>
      </c>
      <c r="D25" s="356">
        <v>1</v>
      </c>
      <c r="E25" s="89" t="s">
        <v>81</v>
      </c>
      <c r="F25" s="360">
        <v>15000</v>
      </c>
      <c r="G25" s="358">
        <f t="shared" si="8"/>
        <v>15000</v>
      </c>
      <c r="H25" s="358">
        <v>0</v>
      </c>
      <c r="I25" s="358">
        <f t="shared" si="9"/>
        <v>0</v>
      </c>
      <c r="J25" s="358">
        <f t="shared" si="10"/>
        <v>15000</v>
      </c>
      <c r="K25" s="11"/>
    </row>
    <row r="26" spans="1:256" s="465" customFormat="1">
      <c r="A26" s="459"/>
      <c r="B26" s="676" t="str">
        <f>""&amp;A23&amp;" "&amp;B23</f>
        <v>2.1.3 FIRE ALARM SYSTEM</v>
      </c>
      <c r="C26" s="677"/>
      <c r="D26" s="460"/>
      <c r="E26" s="461"/>
      <c r="F26" s="462"/>
      <c r="G26" s="463">
        <f>SUM(G24:G25)</f>
        <v>54500</v>
      </c>
      <c r="H26" s="463"/>
      <c r="I26" s="463">
        <f>SUM(I24:I25)</f>
        <v>0</v>
      </c>
      <c r="J26" s="462">
        <f>SUM(J24:J25)</f>
        <v>54500</v>
      </c>
      <c r="K26" s="464"/>
      <c r="L26" s="373"/>
      <c r="M26" s="373"/>
      <c r="N26" s="373"/>
      <c r="O26" s="373"/>
      <c r="P26" s="373"/>
      <c r="Q26" s="373"/>
      <c r="R26" s="373"/>
      <c r="S26" s="373"/>
      <c r="T26" s="373"/>
      <c r="U26" s="373"/>
      <c r="V26" s="373"/>
      <c r="W26" s="373"/>
      <c r="X26" s="373"/>
      <c r="Y26" s="373"/>
      <c r="Z26" s="373"/>
      <c r="AA26" s="373"/>
      <c r="AB26" s="373"/>
      <c r="AC26" s="373"/>
      <c r="AD26" s="373"/>
      <c r="AE26" s="373"/>
      <c r="AF26" s="373"/>
      <c r="AG26" s="373"/>
      <c r="AH26" s="373"/>
      <c r="AI26" s="373"/>
      <c r="AJ26" s="373"/>
      <c r="AK26" s="373"/>
      <c r="AL26" s="373"/>
      <c r="AM26" s="373"/>
      <c r="AN26" s="373"/>
      <c r="AO26" s="373"/>
      <c r="AP26" s="373"/>
      <c r="AQ26" s="373"/>
      <c r="AR26" s="373"/>
      <c r="AS26" s="373"/>
      <c r="AT26" s="373"/>
      <c r="AU26" s="373"/>
      <c r="AV26" s="373"/>
      <c r="AW26" s="373"/>
      <c r="AX26" s="373"/>
      <c r="AY26" s="373"/>
      <c r="AZ26" s="373"/>
      <c r="BA26" s="373"/>
      <c r="BB26" s="373"/>
      <c r="BC26" s="373"/>
      <c r="BD26" s="373"/>
      <c r="BE26" s="373"/>
      <c r="BF26" s="373"/>
      <c r="BG26" s="373"/>
      <c r="BH26" s="373"/>
      <c r="BI26" s="373"/>
      <c r="BJ26" s="373"/>
      <c r="BK26" s="373"/>
      <c r="BL26" s="373"/>
      <c r="BM26" s="373"/>
      <c r="BN26" s="373"/>
      <c r="BO26" s="373"/>
      <c r="BP26" s="373"/>
      <c r="BQ26" s="373"/>
      <c r="BR26" s="373"/>
      <c r="BS26" s="373"/>
      <c r="BT26" s="373"/>
      <c r="BU26" s="373"/>
      <c r="BV26" s="373"/>
      <c r="BW26" s="373"/>
      <c r="BX26" s="373"/>
      <c r="BY26" s="373"/>
      <c r="BZ26" s="373"/>
      <c r="CA26" s="373"/>
      <c r="CB26" s="373"/>
      <c r="CC26" s="373"/>
      <c r="CD26" s="373"/>
      <c r="CE26" s="373"/>
      <c r="CF26" s="373"/>
      <c r="CG26" s="373"/>
      <c r="CH26" s="373"/>
      <c r="CI26" s="373"/>
      <c r="CJ26" s="373"/>
      <c r="CK26" s="373"/>
      <c r="CL26" s="373"/>
      <c r="CM26" s="373"/>
      <c r="CN26" s="373"/>
      <c r="CO26" s="373"/>
      <c r="CP26" s="373"/>
      <c r="CQ26" s="373"/>
      <c r="CR26" s="373"/>
      <c r="CS26" s="373"/>
      <c r="CT26" s="373"/>
      <c r="CU26" s="373"/>
      <c r="CV26" s="373"/>
      <c r="CW26" s="373"/>
      <c r="CX26" s="373"/>
      <c r="CY26" s="373"/>
      <c r="CZ26" s="373"/>
      <c r="DA26" s="373"/>
      <c r="DB26" s="373"/>
      <c r="DC26" s="373"/>
      <c r="DD26" s="373"/>
      <c r="DE26" s="373"/>
      <c r="DF26" s="373"/>
      <c r="DG26" s="373"/>
      <c r="DH26" s="373"/>
      <c r="DI26" s="373"/>
      <c r="DJ26" s="373"/>
      <c r="DK26" s="373"/>
      <c r="DL26" s="373"/>
      <c r="DM26" s="373"/>
      <c r="DN26" s="373"/>
      <c r="DO26" s="373"/>
      <c r="DP26" s="373"/>
      <c r="DQ26" s="373"/>
      <c r="DR26" s="373"/>
      <c r="DS26" s="373"/>
      <c r="DT26" s="373"/>
      <c r="DU26" s="373"/>
      <c r="DV26" s="373"/>
      <c r="DW26" s="373"/>
      <c r="DX26" s="373"/>
      <c r="DY26" s="373"/>
      <c r="DZ26" s="373"/>
      <c r="EA26" s="373"/>
      <c r="EB26" s="373"/>
      <c r="EC26" s="373"/>
      <c r="ED26" s="373"/>
      <c r="EE26" s="373"/>
      <c r="EF26" s="373"/>
      <c r="EG26" s="373"/>
      <c r="EH26" s="373"/>
      <c r="EI26" s="373"/>
      <c r="EJ26" s="373"/>
      <c r="EK26" s="373"/>
      <c r="EL26" s="373"/>
      <c r="EM26" s="373"/>
      <c r="EN26" s="373"/>
      <c r="EO26" s="373"/>
      <c r="EP26" s="373"/>
      <c r="EQ26" s="373"/>
      <c r="ER26" s="373"/>
      <c r="ES26" s="373"/>
      <c r="ET26" s="373"/>
      <c r="EU26" s="373"/>
      <c r="EV26" s="373"/>
      <c r="EW26" s="373"/>
      <c r="EX26" s="373"/>
      <c r="EY26" s="373"/>
      <c r="EZ26" s="373"/>
      <c r="FA26" s="373"/>
      <c r="FB26" s="373"/>
      <c r="FC26" s="373"/>
      <c r="FD26" s="373"/>
      <c r="FE26" s="373"/>
      <c r="FF26" s="373"/>
      <c r="FG26" s="373"/>
      <c r="FH26" s="373"/>
      <c r="FI26" s="373"/>
      <c r="FJ26" s="373"/>
      <c r="FK26" s="373"/>
      <c r="FL26" s="373"/>
      <c r="FM26" s="373"/>
      <c r="FN26" s="373"/>
      <c r="FO26" s="373"/>
      <c r="FP26" s="373"/>
      <c r="FQ26" s="373"/>
      <c r="FR26" s="373"/>
      <c r="FS26" s="373"/>
      <c r="FT26" s="373"/>
      <c r="FU26" s="373"/>
      <c r="FV26" s="373"/>
      <c r="FW26" s="373"/>
      <c r="FX26" s="373"/>
      <c r="FY26" s="373"/>
      <c r="FZ26" s="373"/>
      <c r="GA26" s="373"/>
      <c r="GB26" s="373"/>
      <c r="GC26" s="373"/>
      <c r="GD26" s="373"/>
      <c r="GE26" s="373"/>
      <c r="GF26" s="373"/>
      <c r="GG26" s="373"/>
      <c r="GH26" s="373"/>
      <c r="GI26" s="373"/>
      <c r="GJ26" s="373"/>
      <c r="GK26" s="373"/>
      <c r="GL26" s="373"/>
      <c r="GM26" s="373"/>
      <c r="GN26" s="373"/>
      <c r="GO26" s="373"/>
      <c r="GP26" s="373"/>
      <c r="GQ26" s="373"/>
      <c r="GR26" s="373"/>
      <c r="GS26" s="373"/>
      <c r="GT26" s="373"/>
      <c r="GU26" s="373"/>
      <c r="GV26" s="373"/>
      <c r="GW26" s="373"/>
      <c r="GX26" s="373"/>
      <c r="GY26" s="373"/>
      <c r="GZ26" s="373"/>
      <c r="HA26" s="373"/>
      <c r="HB26" s="373"/>
      <c r="HC26" s="373"/>
      <c r="HD26" s="373"/>
      <c r="HE26" s="373"/>
      <c r="HF26" s="373"/>
      <c r="HG26" s="373"/>
      <c r="HH26" s="373"/>
      <c r="HI26" s="373"/>
      <c r="HJ26" s="373"/>
      <c r="HK26" s="373"/>
      <c r="HL26" s="373"/>
      <c r="HM26" s="373"/>
      <c r="HN26" s="373"/>
      <c r="HO26" s="373"/>
      <c r="HP26" s="373"/>
      <c r="HQ26" s="373"/>
      <c r="HR26" s="373"/>
      <c r="HS26" s="373"/>
      <c r="HT26" s="373"/>
      <c r="HU26" s="373"/>
      <c r="HV26" s="373"/>
      <c r="HW26" s="373"/>
      <c r="HX26" s="373"/>
      <c r="HY26" s="373"/>
      <c r="HZ26" s="373"/>
      <c r="IA26" s="373"/>
      <c r="IB26" s="373"/>
      <c r="IC26" s="373"/>
      <c r="ID26" s="373"/>
      <c r="IE26" s="373"/>
      <c r="IF26" s="373"/>
      <c r="IG26" s="373"/>
      <c r="IH26" s="373"/>
      <c r="II26" s="373"/>
      <c r="IJ26" s="373"/>
      <c r="IK26" s="373"/>
      <c r="IL26" s="373"/>
      <c r="IM26" s="373"/>
      <c r="IN26" s="373"/>
      <c r="IO26" s="373"/>
      <c r="IP26" s="373"/>
      <c r="IQ26" s="373"/>
      <c r="IR26" s="373"/>
      <c r="IS26" s="373"/>
      <c r="IT26" s="373"/>
      <c r="IU26" s="373"/>
      <c r="IV26" s="373"/>
    </row>
    <row r="27" spans="1:256" s="392" customFormat="1">
      <c r="A27" s="374" t="s">
        <v>399</v>
      </c>
      <c r="B27" s="384" t="s">
        <v>381</v>
      </c>
      <c r="C27" s="385"/>
      <c r="D27" s="386"/>
      <c r="E27" s="387"/>
      <c r="F27" s="388"/>
      <c r="G27" s="389"/>
      <c r="H27" s="388"/>
      <c r="I27" s="388"/>
      <c r="J27" s="390"/>
      <c r="K27" s="391"/>
    </row>
    <row r="28" spans="1:256" s="109" customFormat="1">
      <c r="A28" s="110"/>
      <c r="B28" s="115" t="s">
        <v>85</v>
      </c>
      <c r="C28" s="90" t="s">
        <v>383</v>
      </c>
      <c r="D28" s="356">
        <v>1</v>
      </c>
      <c r="E28" s="89" t="s">
        <v>81</v>
      </c>
      <c r="F28" s="357">
        <v>26500</v>
      </c>
      <c r="G28" s="358">
        <f t="shared" ref="G28:G33" si="11">F28*D28</f>
        <v>26500</v>
      </c>
      <c r="H28" s="358">
        <v>0</v>
      </c>
      <c r="I28" s="358">
        <f t="shared" ref="I28:I33" si="12">H28*D28</f>
        <v>0</v>
      </c>
      <c r="J28" s="358">
        <f t="shared" ref="J28:J33" si="13">G28+I28</f>
        <v>26500</v>
      </c>
      <c r="K28" s="11"/>
    </row>
    <row r="29" spans="1:256" s="109" customFormat="1">
      <c r="A29" s="110"/>
      <c r="B29" s="115" t="s">
        <v>85</v>
      </c>
      <c r="C29" s="90" t="s">
        <v>384</v>
      </c>
      <c r="D29" s="356">
        <v>1</v>
      </c>
      <c r="E29" s="89" t="s">
        <v>81</v>
      </c>
      <c r="F29" s="357">
        <v>32000</v>
      </c>
      <c r="G29" s="358">
        <f t="shared" si="11"/>
        <v>32000</v>
      </c>
      <c r="H29" s="358">
        <v>0</v>
      </c>
      <c r="I29" s="358">
        <f t="shared" si="12"/>
        <v>0</v>
      </c>
      <c r="J29" s="358">
        <f t="shared" si="13"/>
        <v>32000</v>
      </c>
      <c r="K29" s="11"/>
    </row>
    <row r="30" spans="1:256" s="109" customFormat="1">
      <c r="A30" s="110"/>
      <c r="B30" s="115" t="s">
        <v>85</v>
      </c>
      <c r="C30" s="90" t="s">
        <v>385</v>
      </c>
      <c r="D30" s="356">
        <v>1</v>
      </c>
      <c r="E30" s="89" t="s">
        <v>81</v>
      </c>
      <c r="F30" s="357">
        <v>49500</v>
      </c>
      <c r="G30" s="358">
        <f t="shared" si="11"/>
        <v>49500</v>
      </c>
      <c r="H30" s="358">
        <v>0</v>
      </c>
      <c r="I30" s="358">
        <f t="shared" si="12"/>
        <v>0</v>
      </c>
      <c r="J30" s="358">
        <f t="shared" si="13"/>
        <v>49500</v>
      </c>
      <c r="K30" s="11"/>
    </row>
    <row r="31" spans="1:256" s="109" customFormat="1">
      <c r="A31" s="110"/>
      <c r="B31" s="115" t="s">
        <v>85</v>
      </c>
      <c r="C31" s="90" t="s">
        <v>386</v>
      </c>
      <c r="D31" s="356">
        <v>1</v>
      </c>
      <c r="E31" s="89" t="s">
        <v>81</v>
      </c>
      <c r="F31" s="357">
        <v>22500</v>
      </c>
      <c r="G31" s="358">
        <f t="shared" si="11"/>
        <v>22500</v>
      </c>
      <c r="H31" s="358">
        <v>0</v>
      </c>
      <c r="I31" s="358">
        <f t="shared" si="12"/>
        <v>0</v>
      </c>
      <c r="J31" s="358">
        <f t="shared" si="13"/>
        <v>22500</v>
      </c>
      <c r="K31" s="11"/>
    </row>
    <row r="32" spans="1:256" s="109" customFormat="1">
      <c r="A32" s="110"/>
      <c r="B32" s="115" t="s">
        <v>85</v>
      </c>
      <c r="C32" s="90" t="s">
        <v>387</v>
      </c>
      <c r="D32" s="356">
        <v>1</v>
      </c>
      <c r="E32" s="89" t="s">
        <v>81</v>
      </c>
      <c r="F32" s="357">
        <v>8500</v>
      </c>
      <c r="G32" s="358">
        <f t="shared" si="11"/>
        <v>8500</v>
      </c>
      <c r="H32" s="358">
        <v>0</v>
      </c>
      <c r="I32" s="358">
        <f t="shared" si="12"/>
        <v>0</v>
      </c>
      <c r="J32" s="358">
        <f t="shared" si="13"/>
        <v>8500</v>
      </c>
      <c r="K32" s="11"/>
    </row>
    <row r="33" spans="1:256" s="109" customFormat="1">
      <c r="A33" s="110"/>
      <c r="B33" s="115" t="s">
        <v>85</v>
      </c>
      <c r="C33" s="90" t="s">
        <v>388</v>
      </c>
      <c r="D33" s="356">
        <v>1</v>
      </c>
      <c r="E33" s="89" t="s">
        <v>81</v>
      </c>
      <c r="F33" s="357">
        <v>6500</v>
      </c>
      <c r="G33" s="358">
        <f t="shared" si="11"/>
        <v>6500</v>
      </c>
      <c r="H33" s="358">
        <v>0</v>
      </c>
      <c r="I33" s="358">
        <f t="shared" si="12"/>
        <v>0</v>
      </c>
      <c r="J33" s="358">
        <f t="shared" si="13"/>
        <v>6500</v>
      </c>
      <c r="K33" s="11"/>
    </row>
    <row r="34" spans="1:256" s="465" customFormat="1">
      <c r="A34" s="459"/>
      <c r="B34" s="676" t="str">
        <f>""&amp;A27&amp;" "&amp;B27</f>
        <v>2.1.4 ระบบประกาศเสียง</v>
      </c>
      <c r="C34" s="677"/>
      <c r="D34" s="460"/>
      <c r="E34" s="461"/>
      <c r="F34" s="462"/>
      <c r="G34" s="463">
        <f>SUM(G28:G33)</f>
        <v>145500</v>
      </c>
      <c r="H34" s="463"/>
      <c r="I34" s="463">
        <f>SUM(I28:I33)</f>
        <v>0</v>
      </c>
      <c r="J34" s="462">
        <f>SUM(J28:J33)</f>
        <v>145500</v>
      </c>
      <c r="K34" s="464"/>
      <c r="L34" s="373"/>
      <c r="M34" s="373"/>
      <c r="N34" s="373"/>
      <c r="O34" s="373"/>
      <c r="P34" s="373"/>
      <c r="Q34" s="373"/>
      <c r="R34" s="373"/>
      <c r="S34" s="373"/>
      <c r="T34" s="373"/>
      <c r="U34" s="373"/>
      <c r="V34" s="373"/>
      <c r="W34" s="373"/>
      <c r="X34" s="373"/>
      <c r="Y34" s="373"/>
      <c r="Z34" s="373"/>
      <c r="AA34" s="373"/>
      <c r="AB34" s="373"/>
      <c r="AC34" s="373"/>
      <c r="AD34" s="373"/>
      <c r="AE34" s="373"/>
      <c r="AF34" s="373"/>
      <c r="AG34" s="373"/>
      <c r="AH34" s="373"/>
      <c r="AI34" s="373"/>
      <c r="AJ34" s="373"/>
      <c r="AK34" s="373"/>
      <c r="AL34" s="373"/>
      <c r="AM34" s="373"/>
      <c r="AN34" s="373"/>
      <c r="AO34" s="373"/>
      <c r="AP34" s="373"/>
      <c r="AQ34" s="373"/>
      <c r="AR34" s="373"/>
      <c r="AS34" s="373"/>
      <c r="AT34" s="373"/>
      <c r="AU34" s="373"/>
      <c r="AV34" s="373"/>
      <c r="AW34" s="373"/>
      <c r="AX34" s="373"/>
      <c r="AY34" s="373"/>
      <c r="AZ34" s="373"/>
      <c r="BA34" s="373"/>
      <c r="BB34" s="373"/>
      <c r="BC34" s="373"/>
      <c r="BD34" s="373"/>
      <c r="BE34" s="373"/>
      <c r="BF34" s="373"/>
      <c r="BG34" s="373"/>
      <c r="BH34" s="373"/>
      <c r="BI34" s="373"/>
      <c r="BJ34" s="373"/>
      <c r="BK34" s="373"/>
      <c r="BL34" s="373"/>
      <c r="BM34" s="373"/>
      <c r="BN34" s="373"/>
      <c r="BO34" s="373"/>
      <c r="BP34" s="373"/>
      <c r="BQ34" s="373"/>
      <c r="BR34" s="373"/>
      <c r="BS34" s="373"/>
      <c r="BT34" s="373"/>
      <c r="BU34" s="373"/>
      <c r="BV34" s="373"/>
      <c r="BW34" s="373"/>
      <c r="BX34" s="373"/>
      <c r="BY34" s="373"/>
      <c r="BZ34" s="373"/>
      <c r="CA34" s="373"/>
      <c r="CB34" s="373"/>
      <c r="CC34" s="373"/>
      <c r="CD34" s="373"/>
      <c r="CE34" s="373"/>
      <c r="CF34" s="373"/>
      <c r="CG34" s="373"/>
      <c r="CH34" s="373"/>
      <c r="CI34" s="373"/>
      <c r="CJ34" s="373"/>
      <c r="CK34" s="373"/>
      <c r="CL34" s="373"/>
      <c r="CM34" s="373"/>
      <c r="CN34" s="373"/>
      <c r="CO34" s="373"/>
      <c r="CP34" s="373"/>
      <c r="CQ34" s="373"/>
      <c r="CR34" s="373"/>
      <c r="CS34" s="373"/>
      <c r="CT34" s="373"/>
      <c r="CU34" s="373"/>
      <c r="CV34" s="373"/>
      <c r="CW34" s="373"/>
      <c r="CX34" s="373"/>
      <c r="CY34" s="373"/>
      <c r="CZ34" s="373"/>
      <c r="DA34" s="373"/>
      <c r="DB34" s="373"/>
      <c r="DC34" s="373"/>
      <c r="DD34" s="373"/>
      <c r="DE34" s="373"/>
      <c r="DF34" s="373"/>
      <c r="DG34" s="373"/>
      <c r="DH34" s="373"/>
      <c r="DI34" s="373"/>
      <c r="DJ34" s="373"/>
      <c r="DK34" s="373"/>
      <c r="DL34" s="373"/>
      <c r="DM34" s="373"/>
      <c r="DN34" s="373"/>
      <c r="DO34" s="373"/>
      <c r="DP34" s="373"/>
      <c r="DQ34" s="373"/>
      <c r="DR34" s="373"/>
      <c r="DS34" s="373"/>
      <c r="DT34" s="373"/>
      <c r="DU34" s="373"/>
      <c r="DV34" s="373"/>
      <c r="DW34" s="373"/>
      <c r="DX34" s="373"/>
      <c r="DY34" s="373"/>
      <c r="DZ34" s="373"/>
      <c r="EA34" s="373"/>
      <c r="EB34" s="373"/>
      <c r="EC34" s="373"/>
      <c r="ED34" s="373"/>
      <c r="EE34" s="373"/>
      <c r="EF34" s="373"/>
      <c r="EG34" s="373"/>
      <c r="EH34" s="373"/>
      <c r="EI34" s="373"/>
      <c r="EJ34" s="373"/>
      <c r="EK34" s="373"/>
      <c r="EL34" s="373"/>
      <c r="EM34" s="373"/>
      <c r="EN34" s="373"/>
      <c r="EO34" s="373"/>
      <c r="EP34" s="373"/>
      <c r="EQ34" s="373"/>
      <c r="ER34" s="373"/>
      <c r="ES34" s="373"/>
      <c r="ET34" s="373"/>
      <c r="EU34" s="373"/>
      <c r="EV34" s="373"/>
      <c r="EW34" s="373"/>
      <c r="EX34" s="373"/>
      <c r="EY34" s="373"/>
      <c r="EZ34" s="373"/>
      <c r="FA34" s="373"/>
      <c r="FB34" s="373"/>
      <c r="FC34" s="373"/>
      <c r="FD34" s="373"/>
      <c r="FE34" s="373"/>
      <c r="FF34" s="373"/>
      <c r="FG34" s="373"/>
      <c r="FH34" s="373"/>
      <c r="FI34" s="373"/>
      <c r="FJ34" s="373"/>
      <c r="FK34" s="373"/>
      <c r="FL34" s="373"/>
      <c r="FM34" s="373"/>
      <c r="FN34" s="373"/>
      <c r="FO34" s="373"/>
      <c r="FP34" s="373"/>
      <c r="FQ34" s="373"/>
      <c r="FR34" s="373"/>
      <c r="FS34" s="373"/>
      <c r="FT34" s="373"/>
      <c r="FU34" s="373"/>
      <c r="FV34" s="373"/>
      <c r="FW34" s="373"/>
      <c r="FX34" s="373"/>
      <c r="FY34" s="373"/>
      <c r="FZ34" s="373"/>
      <c r="GA34" s="373"/>
      <c r="GB34" s="373"/>
      <c r="GC34" s="373"/>
      <c r="GD34" s="373"/>
      <c r="GE34" s="373"/>
      <c r="GF34" s="373"/>
      <c r="GG34" s="373"/>
      <c r="GH34" s="373"/>
      <c r="GI34" s="373"/>
      <c r="GJ34" s="373"/>
      <c r="GK34" s="373"/>
      <c r="GL34" s="373"/>
      <c r="GM34" s="373"/>
      <c r="GN34" s="373"/>
      <c r="GO34" s="373"/>
      <c r="GP34" s="373"/>
      <c r="GQ34" s="373"/>
      <c r="GR34" s="373"/>
      <c r="GS34" s="373"/>
      <c r="GT34" s="373"/>
      <c r="GU34" s="373"/>
      <c r="GV34" s="373"/>
      <c r="GW34" s="373"/>
      <c r="GX34" s="373"/>
      <c r="GY34" s="373"/>
      <c r="GZ34" s="373"/>
      <c r="HA34" s="373"/>
      <c r="HB34" s="373"/>
      <c r="HC34" s="373"/>
      <c r="HD34" s="373"/>
      <c r="HE34" s="373"/>
      <c r="HF34" s="373"/>
      <c r="HG34" s="373"/>
      <c r="HH34" s="373"/>
      <c r="HI34" s="373"/>
      <c r="HJ34" s="373"/>
      <c r="HK34" s="373"/>
      <c r="HL34" s="373"/>
      <c r="HM34" s="373"/>
      <c r="HN34" s="373"/>
      <c r="HO34" s="373"/>
      <c r="HP34" s="373"/>
      <c r="HQ34" s="373"/>
      <c r="HR34" s="373"/>
      <c r="HS34" s="373"/>
      <c r="HT34" s="373"/>
      <c r="HU34" s="373"/>
      <c r="HV34" s="373"/>
      <c r="HW34" s="373"/>
      <c r="HX34" s="373"/>
      <c r="HY34" s="373"/>
      <c r="HZ34" s="373"/>
      <c r="IA34" s="373"/>
      <c r="IB34" s="373"/>
      <c r="IC34" s="373"/>
      <c r="ID34" s="373"/>
      <c r="IE34" s="373"/>
      <c r="IF34" s="373"/>
      <c r="IG34" s="373"/>
      <c r="IH34" s="373"/>
      <c r="II34" s="373"/>
      <c r="IJ34" s="373"/>
      <c r="IK34" s="373"/>
      <c r="IL34" s="373"/>
      <c r="IM34" s="373"/>
      <c r="IN34" s="373"/>
      <c r="IO34" s="373"/>
      <c r="IP34" s="373"/>
      <c r="IQ34" s="373"/>
      <c r="IR34" s="373"/>
      <c r="IS34" s="373"/>
      <c r="IT34" s="373"/>
      <c r="IU34" s="373"/>
      <c r="IV34" s="373"/>
    </row>
    <row r="35" spans="1:256" s="383" customFormat="1">
      <c r="A35" s="374" t="s">
        <v>400</v>
      </c>
      <c r="B35" s="375" t="s">
        <v>109</v>
      </c>
      <c r="C35" s="376"/>
      <c r="D35" s="377"/>
      <c r="E35" s="378"/>
      <c r="F35" s="379"/>
      <c r="G35" s="380"/>
      <c r="H35" s="381"/>
      <c r="I35" s="381"/>
      <c r="J35" s="381"/>
      <c r="K35" s="382"/>
    </row>
    <row r="36" spans="1:256" s="109" customFormat="1">
      <c r="A36" s="110"/>
      <c r="B36" s="115" t="s">
        <v>85</v>
      </c>
      <c r="C36" s="108" t="s">
        <v>111</v>
      </c>
      <c r="D36" s="105">
        <v>1</v>
      </c>
      <c r="E36" s="106" t="s">
        <v>81</v>
      </c>
      <c r="F36" s="112">
        <v>49500</v>
      </c>
      <c r="G36" s="111">
        <f>F36*D36</f>
        <v>49500</v>
      </c>
      <c r="H36" s="111">
        <v>0</v>
      </c>
      <c r="I36" s="111">
        <f>H36*D36</f>
        <v>0</v>
      </c>
      <c r="J36" s="111">
        <f>G36+I36</f>
        <v>49500</v>
      </c>
      <c r="K36" s="11"/>
    </row>
    <row r="37" spans="1:256" s="109" customFormat="1">
      <c r="A37" s="110"/>
      <c r="B37" s="115" t="s">
        <v>85</v>
      </c>
      <c r="C37" s="537" t="s">
        <v>392</v>
      </c>
      <c r="D37" s="538">
        <v>1</v>
      </c>
      <c r="E37" s="539" t="s">
        <v>81</v>
      </c>
      <c r="F37" s="538">
        <v>89500</v>
      </c>
      <c r="G37" s="540">
        <f t="shared" ref="G37:G47" si="14">F37*D37</f>
        <v>89500</v>
      </c>
      <c r="H37" s="540">
        <v>0</v>
      </c>
      <c r="I37" s="540">
        <f t="shared" ref="I37:I47" si="15">H37*D37</f>
        <v>0</v>
      </c>
      <c r="J37" s="540">
        <f t="shared" ref="J37:J47" si="16">G37+I37</f>
        <v>89500</v>
      </c>
      <c r="K37" s="11"/>
    </row>
    <row r="38" spans="1:256" s="109" customFormat="1">
      <c r="A38" s="110"/>
      <c r="B38" s="115" t="s">
        <v>85</v>
      </c>
      <c r="C38" s="537" t="s">
        <v>393</v>
      </c>
      <c r="D38" s="538">
        <v>8</v>
      </c>
      <c r="E38" s="539" t="s">
        <v>81</v>
      </c>
      <c r="F38" s="538">
        <v>72400</v>
      </c>
      <c r="G38" s="540">
        <f t="shared" si="14"/>
        <v>579200</v>
      </c>
      <c r="H38" s="540">
        <v>0</v>
      </c>
      <c r="I38" s="540">
        <f t="shared" si="15"/>
        <v>0</v>
      </c>
      <c r="J38" s="540">
        <f t="shared" si="16"/>
        <v>579200</v>
      </c>
      <c r="K38" s="11"/>
    </row>
    <row r="39" spans="1:256" s="109" customFormat="1">
      <c r="A39" s="110"/>
      <c r="B39" s="115" t="s">
        <v>85</v>
      </c>
      <c r="C39" s="108" t="s">
        <v>112</v>
      </c>
      <c r="D39" s="105">
        <v>1</v>
      </c>
      <c r="E39" s="106" t="s">
        <v>81</v>
      </c>
      <c r="F39" s="112">
        <v>12500</v>
      </c>
      <c r="G39" s="111">
        <f t="shared" si="14"/>
        <v>12500</v>
      </c>
      <c r="H39" s="111">
        <v>0</v>
      </c>
      <c r="I39" s="111">
        <f t="shared" si="15"/>
        <v>0</v>
      </c>
      <c r="J39" s="111">
        <f>G39+I39</f>
        <v>12500</v>
      </c>
      <c r="K39" s="11"/>
    </row>
    <row r="40" spans="1:256" s="109" customFormat="1">
      <c r="A40" s="110"/>
      <c r="B40" s="115" t="s">
        <v>85</v>
      </c>
      <c r="C40" s="108" t="s">
        <v>113</v>
      </c>
      <c r="D40" s="105">
        <v>1</v>
      </c>
      <c r="E40" s="106" t="s">
        <v>81</v>
      </c>
      <c r="F40" s="112">
        <v>24500</v>
      </c>
      <c r="G40" s="111">
        <f t="shared" si="14"/>
        <v>24500</v>
      </c>
      <c r="H40" s="111">
        <v>0</v>
      </c>
      <c r="I40" s="111">
        <f t="shared" si="15"/>
        <v>0</v>
      </c>
      <c r="J40" s="111">
        <f t="shared" si="16"/>
        <v>24500</v>
      </c>
      <c r="K40" s="11"/>
    </row>
    <row r="41" spans="1:256" s="109" customFormat="1">
      <c r="A41" s="110"/>
      <c r="B41" s="115" t="s">
        <v>85</v>
      </c>
      <c r="C41" s="108" t="s">
        <v>114</v>
      </c>
      <c r="D41" s="105">
        <v>1</v>
      </c>
      <c r="E41" s="106" t="s">
        <v>81</v>
      </c>
      <c r="F41" s="112">
        <v>6900</v>
      </c>
      <c r="G41" s="111">
        <f t="shared" si="14"/>
        <v>6900</v>
      </c>
      <c r="H41" s="111">
        <v>0</v>
      </c>
      <c r="I41" s="111">
        <f t="shared" si="15"/>
        <v>0</v>
      </c>
      <c r="J41" s="111">
        <f t="shared" si="16"/>
        <v>6900</v>
      </c>
      <c r="K41" s="11"/>
    </row>
    <row r="42" spans="1:256" s="109" customFormat="1">
      <c r="A42" s="110"/>
      <c r="B42" s="115" t="s">
        <v>85</v>
      </c>
      <c r="C42" s="108" t="s">
        <v>115</v>
      </c>
      <c r="D42" s="105">
        <v>1</v>
      </c>
      <c r="E42" s="106" t="s">
        <v>81</v>
      </c>
      <c r="F42" s="112">
        <v>32500</v>
      </c>
      <c r="G42" s="111">
        <f t="shared" si="14"/>
        <v>32500</v>
      </c>
      <c r="H42" s="111">
        <v>0</v>
      </c>
      <c r="I42" s="111">
        <f t="shared" si="15"/>
        <v>0</v>
      </c>
      <c r="J42" s="111">
        <f t="shared" si="16"/>
        <v>32500</v>
      </c>
      <c r="K42" s="11"/>
    </row>
    <row r="43" spans="1:256" s="109" customFormat="1">
      <c r="A43" s="110"/>
      <c r="B43" s="528" t="s">
        <v>85</v>
      </c>
      <c r="C43" s="541" t="s">
        <v>394</v>
      </c>
      <c r="D43" s="538">
        <v>1</v>
      </c>
      <c r="E43" s="539" t="s">
        <v>81</v>
      </c>
      <c r="F43" s="538">
        <v>13500</v>
      </c>
      <c r="G43" s="540">
        <f t="shared" si="14"/>
        <v>13500</v>
      </c>
      <c r="H43" s="540">
        <v>0</v>
      </c>
      <c r="I43" s="540">
        <f t="shared" si="15"/>
        <v>0</v>
      </c>
      <c r="J43" s="540">
        <f t="shared" si="16"/>
        <v>13500</v>
      </c>
      <c r="K43" s="542"/>
    </row>
    <row r="44" spans="1:256" s="109" customFormat="1">
      <c r="A44" s="110"/>
      <c r="B44" s="528" t="s">
        <v>85</v>
      </c>
      <c r="C44" s="541" t="s">
        <v>395</v>
      </c>
      <c r="D44" s="538">
        <v>38</v>
      </c>
      <c r="E44" s="539" t="s">
        <v>81</v>
      </c>
      <c r="F44" s="538">
        <v>12900</v>
      </c>
      <c r="G44" s="540">
        <f t="shared" si="14"/>
        <v>490200</v>
      </c>
      <c r="H44" s="540">
        <v>0</v>
      </c>
      <c r="I44" s="540">
        <f t="shared" si="15"/>
        <v>0</v>
      </c>
      <c r="J44" s="540">
        <f t="shared" si="16"/>
        <v>490200</v>
      </c>
      <c r="K44" s="542"/>
    </row>
    <row r="45" spans="1:256" s="109" customFormat="1">
      <c r="A45" s="110"/>
      <c r="B45" s="115" t="s">
        <v>85</v>
      </c>
      <c r="C45" s="108" t="s">
        <v>396</v>
      </c>
      <c r="D45" s="105">
        <v>1</v>
      </c>
      <c r="E45" s="106" t="s">
        <v>81</v>
      </c>
      <c r="F45" s="112">
        <v>56000</v>
      </c>
      <c r="G45" s="111">
        <f t="shared" si="14"/>
        <v>56000</v>
      </c>
      <c r="H45" s="111">
        <v>0</v>
      </c>
      <c r="I45" s="111">
        <f t="shared" si="15"/>
        <v>0</v>
      </c>
      <c r="J45" s="111">
        <f t="shared" si="16"/>
        <v>56000</v>
      </c>
      <c r="K45" s="11"/>
    </row>
    <row r="46" spans="1:256" s="109" customFormat="1">
      <c r="A46" s="110"/>
      <c r="B46" s="115" t="s">
        <v>85</v>
      </c>
      <c r="C46" s="108" t="s">
        <v>116</v>
      </c>
      <c r="D46" s="105">
        <v>1</v>
      </c>
      <c r="E46" s="106" t="s">
        <v>81</v>
      </c>
      <c r="F46" s="112">
        <v>5000</v>
      </c>
      <c r="G46" s="111">
        <f t="shared" si="14"/>
        <v>5000</v>
      </c>
      <c r="H46" s="111">
        <v>0</v>
      </c>
      <c r="I46" s="111">
        <f t="shared" si="15"/>
        <v>0</v>
      </c>
      <c r="J46" s="111">
        <f t="shared" si="16"/>
        <v>5000</v>
      </c>
      <c r="K46" s="11"/>
    </row>
    <row r="47" spans="1:256" s="109" customFormat="1">
      <c r="A47" s="110"/>
      <c r="B47" s="115" t="s">
        <v>85</v>
      </c>
      <c r="C47" s="108" t="s">
        <v>117</v>
      </c>
      <c r="D47" s="105">
        <v>6</v>
      </c>
      <c r="E47" s="106" t="s">
        <v>81</v>
      </c>
      <c r="F47" s="112">
        <v>24500</v>
      </c>
      <c r="G47" s="111">
        <f t="shared" si="14"/>
        <v>147000</v>
      </c>
      <c r="H47" s="111">
        <v>0</v>
      </c>
      <c r="I47" s="111">
        <f t="shared" si="15"/>
        <v>0</v>
      </c>
      <c r="J47" s="111">
        <f t="shared" si="16"/>
        <v>147000</v>
      </c>
      <c r="K47" s="11"/>
    </row>
    <row r="48" spans="1:256" s="109" customFormat="1" ht="154.5" customHeight="1">
      <c r="A48" s="110"/>
      <c r="B48" s="115" t="s">
        <v>85</v>
      </c>
      <c r="C48" s="617" t="s">
        <v>523</v>
      </c>
      <c r="D48" s="105">
        <v>1</v>
      </c>
      <c r="E48" s="106" t="s">
        <v>81</v>
      </c>
      <c r="F48" s="112">
        <v>39000</v>
      </c>
      <c r="G48" s="111">
        <f t="shared" ref="G48" si="17">F48*D48</f>
        <v>39000</v>
      </c>
      <c r="H48" s="111">
        <v>0</v>
      </c>
      <c r="I48" s="111">
        <f t="shared" ref="I48" si="18">H48*D48</f>
        <v>0</v>
      </c>
      <c r="J48" s="111">
        <f t="shared" ref="J48" si="19">G48+I48</f>
        <v>39000</v>
      </c>
      <c r="K48" s="11"/>
    </row>
    <row r="49" spans="1:256" s="465" customFormat="1">
      <c r="A49" s="459"/>
      <c r="B49" s="676" t="str">
        <f>""&amp;A35&amp;" "&amp;B35</f>
        <v>2.1.5 ระบบโสตทัศนูปกรณ์</v>
      </c>
      <c r="C49" s="677"/>
      <c r="D49" s="460"/>
      <c r="E49" s="461"/>
      <c r="F49" s="462"/>
      <c r="G49" s="462">
        <f t="shared" ref="G49:I49" si="20">SUM(G36:G48)</f>
        <v>1545300</v>
      </c>
      <c r="H49" s="462">
        <f t="shared" si="20"/>
        <v>0</v>
      </c>
      <c r="I49" s="462">
        <f t="shared" si="20"/>
        <v>0</v>
      </c>
      <c r="J49" s="462">
        <f>SUM(J36:J48)</f>
        <v>1545300</v>
      </c>
      <c r="K49" s="464"/>
      <c r="L49" s="373"/>
      <c r="M49" s="373"/>
      <c r="N49" s="373"/>
      <c r="O49" s="373"/>
      <c r="P49" s="373"/>
      <c r="Q49" s="373"/>
      <c r="R49" s="373"/>
      <c r="S49" s="373"/>
      <c r="T49" s="373"/>
      <c r="U49" s="373"/>
      <c r="V49" s="373"/>
      <c r="W49" s="373"/>
      <c r="X49" s="373"/>
      <c r="Y49" s="373"/>
      <c r="Z49" s="373"/>
      <c r="AA49" s="373"/>
      <c r="AB49" s="373"/>
      <c r="AC49" s="373"/>
      <c r="AD49" s="373"/>
      <c r="AE49" s="373"/>
      <c r="AF49" s="373"/>
      <c r="AG49" s="373"/>
      <c r="AH49" s="373"/>
      <c r="AI49" s="373"/>
      <c r="AJ49" s="373"/>
      <c r="AK49" s="373"/>
      <c r="AL49" s="373"/>
      <c r="AM49" s="373"/>
      <c r="AN49" s="373"/>
      <c r="AO49" s="373"/>
      <c r="AP49" s="373"/>
      <c r="AQ49" s="373"/>
      <c r="AR49" s="373"/>
      <c r="AS49" s="373"/>
      <c r="AT49" s="373"/>
      <c r="AU49" s="373"/>
      <c r="AV49" s="373"/>
      <c r="AW49" s="373"/>
      <c r="AX49" s="373"/>
      <c r="AY49" s="373"/>
      <c r="AZ49" s="373"/>
      <c r="BA49" s="373"/>
      <c r="BB49" s="373"/>
      <c r="BC49" s="373"/>
      <c r="BD49" s="373"/>
      <c r="BE49" s="373"/>
      <c r="BF49" s="373"/>
      <c r="BG49" s="373"/>
      <c r="BH49" s="373"/>
      <c r="BI49" s="373"/>
      <c r="BJ49" s="373"/>
      <c r="BK49" s="373"/>
      <c r="BL49" s="373"/>
      <c r="BM49" s="373"/>
      <c r="BN49" s="373"/>
      <c r="BO49" s="373"/>
      <c r="BP49" s="373"/>
      <c r="BQ49" s="373"/>
      <c r="BR49" s="373"/>
      <c r="BS49" s="373"/>
      <c r="BT49" s="373"/>
      <c r="BU49" s="373"/>
      <c r="BV49" s="373"/>
      <c r="BW49" s="373"/>
      <c r="BX49" s="373"/>
      <c r="BY49" s="373"/>
      <c r="BZ49" s="373"/>
      <c r="CA49" s="373"/>
      <c r="CB49" s="373"/>
      <c r="CC49" s="373"/>
      <c r="CD49" s="373"/>
      <c r="CE49" s="373"/>
      <c r="CF49" s="373"/>
      <c r="CG49" s="373"/>
      <c r="CH49" s="373"/>
      <c r="CI49" s="373"/>
      <c r="CJ49" s="373"/>
      <c r="CK49" s="373"/>
      <c r="CL49" s="373"/>
      <c r="CM49" s="373"/>
      <c r="CN49" s="373"/>
      <c r="CO49" s="373"/>
      <c r="CP49" s="373"/>
      <c r="CQ49" s="373"/>
      <c r="CR49" s="373"/>
      <c r="CS49" s="373"/>
      <c r="CT49" s="373"/>
      <c r="CU49" s="373"/>
      <c r="CV49" s="373"/>
      <c r="CW49" s="373"/>
      <c r="CX49" s="373"/>
      <c r="CY49" s="373"/>
      <c r="CZ49" s="373"/>
      <c r="DA49" s="373"/>
      <c r="DB49" s="373"/>
      <c r="DC49" s="373"/>
      <c r="DD49" s="373"/>
      <c r="DE49" s="373"/>
      <c r="DF49" s="373"/>
      <c r="DG49" s="373"/>
      <c r="DH49" s="373"/>
      <c r="DI49" s="373"/>
      <c r="DJ49" s="373"/>
      <c r="DK49" s="373"/>
      <c r="DL49" s="373"/>
      <c r="DM49" s="373"/>
      <c r="DN49" s="373"/>
      <c r="DO49" s="373"/>
      <c r="DP49" s="373"/>
      <c r="DQ49" s="373"/>
      <c r="DR49" s="373"/>
      <c r="DS49" s="373"/>
      <c r="DT49" s="373"/>
      <c r="DU49" s="373"/>
      <c r="DV49" s="373"/>
      <c r="DW49" s="373"/>
      <c r="DX49" s="373"/>
      <c r="DY49" s="373"/>
      <c r="DZ49" s="373"/>
      <c r="EA49" s="373"/>
      <c r="EB49" s="373"/>
      <c r="EC49" s="373"/>
      <c r="ED49" s="373"/>
      <c r="EE49" s="373"/>
      <c r="EF49" s="373"/>
      <c r="EG49" s="373"/>
      <c r="EH49" s="373"/>
      <c r="EI49" s="373"/>
      <c r="EJ49" s="373"/>
      <c r="EK49" s="373"/>
      <c r="EL49" s="373"/>
      <c r="EM49" s="373"/>
      <c r="EN49" s="373"/>
      <c r="EO49" s="373"/>
      <c r="EP49" s="373"/>
      <c r="EQ49" s="373"/>
      <c r="ER49" s="373"/>
      <c r="ES49" s="373"/>
      <c r="ET49" s="373"/>
      <c r="EU49" s="373"/>
      <c r="EV49" s="373"/>
      <c r="EW49" s="373"/>
      <c r="EX49" s="373"/>
      <c r="EY49" s="373"/>
      <c r="EZ49" s="373"/>
      <c r="FA49" s="373"/>
      <c r="FB49" s="373"/>
      <c r="FC49" s="373"/>
      <c r="FD49" s="373"/>
      <c r="FE49" s="373"/>
      <c r="FF49" s="373"/>
      <c r="FG49" s="373"/>
      <c r="FH49" s="373"/>
      <c r="FI49" s="373"/>
      <c r="FJ49" s="373"/>
      <c r="FK49" s="373"/>
      <c r="FL49" s="373"/>
      <c r="FM49" s="373"/>
      <c r="FN49" s="373"/>
      <c r="FO49" s="373"/>
      <c r="FP49" s="373"/>
      <c r="FQ49" s="373"/>
      <c r="FR49" s="373"/>
      <c r="FS49" s="373"/>
      <c r="FT49" s="373"/>
      <c r="FU49" s="373"/>
      <c r="FV49" s="373"/>
      <c r="FW49" s="373"/>
      <c r="FX49" s="373"/>
      <c r="FY49" s="373"/>
      <c r="FZ49" s="373"/>
      <c r="GA49" s="373"/>
      <c r="GB49" s="373"/>
      <c r="GC49" s="373"/>
      <c r="GD49" s="373"/>
      <c r="GE49" s="373"/>
      <c r="GF49" s="373"/>
      <c r="GG49" s="373"/>
      <c r="GH49" s="373"/>
      <c r="GI49" s="373"/>
      <c r="GJ49" s="373"/>
      <c r="GK49" s="373"/>
      <c r="GL49" s="373"/>
      <c r="GM49" s="373"/>
      <c r="GN49" s="373"/>
      <c r="GO49" s="373"/>
      <c r="GP49" s="373"/>
      <c r="GQ49" s="373"/>
      <c r="GR49" s="373"/>
      <c r="GS49" s="373"/>
      <c r="GT49" s="373"/>
      <c r="GU49" s="373"/>
      <c r="GV49" s="373"/>
      <c r="GW49" s="373"/>
      <c r="GX49" s="373"/>
      <c r="GY49" s="373"/>
      <c r="GZ49" s="373"/>
      <c r="HA49" s="373"/>
      <c r="HB49" s="373"/>
      <c r="HC49" s="373"/>
      <c r="HD49" s="373"/>
      <c r="HE49" s="373"/>
      <c r="HF49" s="373"/>
      <c r="HG49" s="373"/>
      <c r="HH49" s="373"/>
      <c r="HI49" s="373"/>
      <c r="HJ49" s="373"/>
      <c r="HK49" s="373"/>
      <c r="HL49" s="373"/>
      <c r="HM49" s="373"/>
      <c r="HN49" s="373"/>
      <c r="HO49" s="373"/>
      <c r="HP49" s="373"/>
      <c r="HQ49" s="373"/>
      <c r="HR49" s="373"/>
      <c r="HS49" s="373"/>
      <c r="HT49" s="373"/>
      <c r="HU49" s="373"/>
      <c r="HV49" s="373"/>
      <c r="HW49" s="373"/>
      <c r="HX49" s="373"/>
      <c r="HY49" s="373"/>
      <c r="HZ49" s="373"/>
      <c r="IA49" s="373"/>
      <c r="IB49" s="373"/>
      <c r="IC49" s="373"/>
      <c r="ID49" s="373"/>
      <c r="IE49" s="373"/>
      <c r="IF49" s="373"/>
      <c r="IG49" s="373"/>
      <c r="IH49" s="373"/>
      <c r="II49" s="373"/>
      <c r="IJ49" s="373"/>
      <c r="IK49" s="373"/>
      <c r="IL49" s="373"/>
      <c r="IM49" s="373"/>
      <c r="IN49" s="373"/>
      <c r="IO49" s="373"/>
      <c r="IP49" s="373"/>
      <c r="IQ49" s="373"/>
      <c r="IR49" s="373"/>
      <c r="IS49" s="373"/>
      <c r="IT49" s="373"/>
      <c r="IU49" s="373"/>
      <c r="IV49" s="373"/>
    </row>
    <row r="50" spans="1:256" s="458" customFormat="1">
      <c r="A50" s="455"/>
      <c r="B50" s="678" t="s">
        <v>127</v>
      </c>
      <c r="C50" s="679"/>
      <c r="D50" s="456"/>
      <c r="E50" s="455"/>
      <c r="F50" s="457"/>
      <c r="G50" s="457">
        <f>G49+G34+G26+G22+G14</f>
        <v>2728190</v>
      </c>
      <c r="H50" s="457"/>
      <c r="I50" s="457"/>
      <c r="J50" s="457">
        <f>J49+J34+J26+J22+J14</f>
        <v>2728190</v>
      </c>
      <c r="K50" s="457"/>
    </row>
  </sheetData>
  <mergeCells count="8">
    <mergeCell ref="B34:C34"/>
    <mergeCell ref="B49:C49"/>
    <mergeCell ref="B50:C50"/>
    <mergeCell ref="B9:C9"/>
    <mergeCell ref="I5:J5"/>
    <mergeCell ref="B14:C14"/>
    <mergeCell ref="B22:C22"/>
    <mergeCell ref="B26:C26"/>
  </mergeCells>
  <printOptions horizontalCentered="1"/>
  <pageMargins left="0.2" right="0.2" top="0.5" bottom="0.5" header="0.3" footer="0.3"/>
  <pageSetup paperSize="9" scale="87" orientation="landscape" horizontalDpi="300" verticalDpi="300" r:id="rId1"/>
  <ignoredErrors>
    <ignoredError sqref="G20 I20" formula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indexed="10"/>
  </sheetPr>
  <dimension ref="A1:K42"/>
  <sheetViews>
    <sheetView showGridLines="0" showZeros="0" view="pageBreakPreview" zoomScale="70" zoomScaleNormal="85" zoomScaleSheetLayoutView="70" workbookViewId="0">
      <pane ySplit="8" topLeftCell="A9" activePane="bottomLeft" state="frozen"/>
      <selection activeCell="F45" sqref="F45"/>
      <selection pane="bottomLeft" activeCell="G22" sqref="G22"/>
    </sheetView>
  </sheetViews>
  <sheetFormatPr defaultColWidth="9.140625" defaultRowHeight="21.75"/>
  <cols>
    <col min="1" max="1" width="6.140625" style="116" customWidth="1"/>
    <col min="2" max="2" width="6.140625" style="5" customWidth="1"/>
    <col min="3" max="3" width="55.7109375" style="527" customWidth="1"/>
    <col min="4" max="4" width="10.7109375" style="117" customWidth="1"/>
    <col min="5" max="5" width="8.7109375" style="5" customWidth="1"/>
    <col min="6" max="9" width="15.7109375" style="118" customWidth="1"/>
    <col min="10" max="10" width="18.7109375" style="118" customWidth="1"/>
    <col min="11" max="11" width="15.7109375" style="5" customWidth="1"/>
    <col min="12" max="12" width="13.5703125" style="5" customWidth="1"/>
    <col min="13" max="13" width="25.7109375" style="5" bestFit="1" customWidth="1"/>
    <col min="14" max="16384" width="9.140625" style="5"/>
  </cols>
  <sheetData>
    <row r="1" spans="1:11" s="1" customFormat="1" ht="27" customHeight="1">
      <c r="A1" s="68" t="s">
        <v>401</v>
      </c>
      <c r="B1" s="68"/>
      <c r="C1" s="68" t="str">
        <f ca="1">'1.1.ST'!C1</f>
        <v>งานออกแบบและก่อสร้าง  กองอาคารและสถานที่ มหาวิทยาลัยขอนแก่น</v>
      </c>
      <c r="D1" s="68"/>
      <c r="E1" s="68"/>
      <c r="F1" s="68"/>
      <c r="G1" s="68"/>
      <c r="H1" s="68"/>
      <c r="I1" s="68" t="s">
        <v>43</v>
      </c>
      <c r="J1" s="68" t="s">
        <v>44</v>
      </c>
      <c r="K1" s="68"/>
    </row>
    <row r="2" spans="1:11" s="1" customFormat="1">
      <c r="A2" s="634" t="str">
        <f>' ปร.6'!A3</f>
        <v>ชื่อโครง  โครงการปรับปรุงห้องปฏิบัติการเคมี อาคาร sc.04 คณะวิทยาศาสตร์</v>
      </c>
      <c r="B2" s="634"/>
      <c r="C2" s="634"/>
      <c r="D2" s="68"/>
      <c r="E2" s="68"/>
      <c r="F2" s="68"/>
      <c r="G2" s="68"/>
      <c r="H2" s="68"/>
      <c r="I2" s="68"/>
      <c r="J2" s="68"/>
      <c r="K2" s="68"/>
    </row>
    <row r="3" spans="1:11" s="1" customFormat="1">
      <c r="A3" s="68" t="s">
        <v>88</v>
      </c>
      <c r="B3" s="68"/>
      <c r="C3" s="519" t="s">
        <v>54</v>
      </c>
      <c r="D3" s="68" t="s">
        <v>6</v>
      </c>
      <c r="E3" s="68"/>
      <c r="F3" s="68"/>
      <c r="G3" s="68"/>
      <c r="H3" s="68" t="s">
        <v>45</v>
      </c>
      <c r="I3" s="68"/>
      <c r="J3" s="68"/>
      <c r="K3" s="68"/>
    </row>
    <row r="4" spans="1:11" s="1" customFormat="1">
      <c r="A4" s="68" t="s">
        <v>46</v>
      </c>
      <c r="B4" s="68"/>
      <c r="C4" s="519" t="str">
        <f ca="1">'1.1.ST'!C4</f>
        <v>งานออกแบบและก่อสร้าง</v>
      </c>
      <c r="D4" s="68" t="s">
        <v>47</v>
      </c>
      <c r="E4" s="68" t="s">
        <v>61</v>
      </c>
      <c r="F4" s="68"/>
      <c r="G4" s="68"/>
      <c r="H4" s="68" t="s">
        <v>48</v>
      </c>
      <c r="I4" s="68"/>
      <c r="J4" s="68"/>
      <c r="K4" s="68"/>
    </row>
    <row r="5" spans="1:11" s="1" customFormat="1">
      <c r="A5" s="68" t="s">
        <v>182</v>
      </c>
      <c r="B5" s="68"/>
      <c r="C5" s="519"/>
      <c r="D5" s="68"/>
      <c r="E5" s="68"/>
      <c r="F5" s="68"/>
      <c r="G5" s="68"/>
      <c r="H5" s="69" t="s">
        <v>52</v>
      </c>
      <c r="I5" s="661"/>
      <c r="J5" s="661"/>
      <c r="K5" s="68" t="s">
        <v>22</v>
      </c>
    </row>
    <row r="6" spans="1:11" s="2" customFormat="1" ht="22.5" thickBot="1">
      <c r="A6" s="6"/>
      <c r="B6" s="6"/>
      <c r="C6" s="520"/>
      <c r="D6" s="8"/>
      <c r="E6" s="8"/>
      <c r="F6" s="70"/>
      <c r="G6" s="71"/>
      <c r="H6" s="71"/>
      <c r="I6" s="70"/>
      <c r="J6" s="70"/>
      <c r="K6" s="7"/>
    </row>
    <row r="7" spans="1:11" s="2" customFormat="1">
      <c r="A7" s="72" t="s">
        <v>49</v>
      </c>
      <c r="B7" s="636"/>
      <c r="C7" s="635" t="s">
        <v>1</v>
      </c>
      <c r="D7" s="99" t="s">
        <v>2</v>
      </c>
      <c r="E7" s="74" t="s">
        <v>3</v>
      </c>
      <c r="F7" s="100" t="s">
        <v>23</v>
      </c>
      <c r="G7" s="101"/>
      <c r="H7" s="100" t="s">
        <v>4</v>
      </c>
      <c r="I7" s="101"/>
      <c r="J7" s="102" t="s">
        <v>50</v>
      </c>
      <c r="K7" s="75" t="s">
        <v>5</v>
      </c>
    </row>
    <row r="8" spans="1:11" s="2" customFormat="1" ht="22.5" thickBot="1">
      <c r="A8" s="76"/>
      <c r="B8" s="77"/>
      <c r="C8" s="604"/>
      <c r="D8" s="605"/>
      <c r="E8" s="79"/>
      <c r="F8" s="606" t="s">
        <v>51</v>
      </c>
      <c r="G8" s="606" t="s">
        <v>13</v>
      </c>
      <c r="H8" s="606" t="s">
        <v>51</v>
      </c>
      <c r="I8" s="606" t="s">
        <v>13</v>
      </c>
      <c r="J8" s="607"/>
      <c r="K8" s="80"/>
    </row>
    <row r="9" spans="1:11">
      <c r="A9" s="597"/>
      <c r="B9" s="598" t="s">
        <v>126</v>
      </c>
      <c r="C9" s="599"/>
      <c r="D9" s="600"/>
      <c r="E9" s="601"/>
      <c r="F9" s="602"/>
      <c r="G9" s="602"/>
      <c r="H9" s="602"/>
      <c r="I9" s="602"/>
      <c r="J9" s="602"/>
      <c r="K9" s="603"/>
    </row>
    <row r="10" spans="1:11">
      <c r="A10" s="441">
        <v>2.2000000000000002</v>
      </c>
      <c r="B10" s="442" t="s">
        <v>244</v>
      </c>
      <c r="C10" s="443"/>
      <c r="D10" s="444"/>
      <c r="E10" s="445"/>
      <c r="F10" s="446"/>
      <c r="G10" s="446"/>
      <c r="H10" s="446"/>
      <c r="I10" s="447"/>
      <c r="J10" s="447"/>
      <c r="K10" s="448"/>
    </row>
    <row r="11" spans="1:11">
      <c r="A11" s="10"/>
      <c r="B11" s="529" t="s">
        <v>493</v>
      </c>
      <c r="C11" s="82"/>
      <c r="D11" s="335"/>
      <c r="E11" s="84"/>
      <c r="F11" s="85"/>
      <c r="G11" s="85"/>
      <c r="H11" s="85"/>
      <c r="I11" s="86"/>
      <c r="J11" s="86"/>
      <c r="K11" s="530"/>
    </row>
    <row r="12" spans="1:11">
      <c r="A12" s="10"/>
      <c r="B12" s="81" t="s">
        <v>80</v>
      </c>
      <c r="C12" s="82" t="s">
        <v>494</v>
      </c>
      <c r="D12" s="335">
        <v>2</v>
      </c>
      <c r="E12" s="84" t="s">
        <v>60</v>
      </c>
      <c r="F12" s="85">
        <v>18500</v>
      </c>
      <c r="G12" s="85">
        <f t="shared" ref="G12:G15" si="0">+F12*D12</f>
        <v>37000</v>
      </c>
      <c r="H12" s="85">
        <v>0</v>
      </c>
      <c r="I12" s="86">
        <f t="shared" ref="I12:I15" si="1">D12*H12</f>
        <v>0</v>
      </c>
      <c r="J12" s="86">
        <f t="shared" ref="J12:J15" si="2">G12+I12</f>
        <v>37000</v>
      </c>
      <c r="K12" s="530" t="s">
        <v>89</v>
      </c>
    </row>
    <row r="13" spans="1:11">
      <c r="A13" s="10"/>
      <c r="B13" s="81" t="s">
        <v>80</v>
      </c>
      <c r="C13" s="82" t="s">
        <v>495</v>
      </c>
      <c r="D13" s="335">
        <v>1</v>
      </c>
      <c r="E13" s="84" t="s">
        <v>60</v>
      </c>
      <c r="F13" s="85">
        <v>18500</v>
      </c>
      <c r="G13" s="85">
        <f t="shared" si="0"/>
        <v>18500</v>
      </c>
      <c r="H13" s="85">
        <v>0</v>
      </c>
      <c r="I13" s="86">
        <f t="shared" si="1"/>
        <v>0</v>
      </c>
      <c r="J13" s="86">
        <f t="shared" si="2"/>
        <v>18500</v>
      </c>
      <c r="K13" s="530" t="s">
        <v>89</v>
      </c>
    </row>
    <row r="14" spans="1:11">
      <c r="A14" s="10"/>
      <c r="B14" s="81" t="s">
        <v>80</v>
      </c>
      <c r="C14" s="82" t="s">
        <v>496</v>
      </c>
      <c r="D14" s="335">
        <v>3</v>
      </c>
      <c r="E14" s="84" t="s">
        <v>60</v>
      </c>
      <c r="F14" s="85">
        <v>5000</v>
      </c>
      <c r="G14" s="85">
        <f t="shared" si="0"/>
        <v>15000</v>
      </c>
      <c r="H14" s="85">
        <v>0</v>
      </c>
      <c r="I14" s="86">
        <f t="shared" si="1"/>
        <v>0</v>
      </c>
      <c r="J14" s="86">
        <f t="shared" si="2"/>
        <v>15000</v>
      </c>
      <c r="K14" s="530" t="s">
        <v>89</v>
      </c>
    </row>
    <row r="15" spans="1:11">
      <c r="A15" s="10"/>
      <c r="B15" s="81" t="s">
        <v>80</v>
      </c>
      <c r="C15" s="82" t="s">
        <v>497</v>
      </c>
      <c r="D15" s="335">
        <v>1</v>
      </c>
      <c r="E15" s="84" t="s">
        <v>60</v>
      </c>
      <c r="F15" s="85">
        <v>5000</v>
      </c>
      <c r="G15" s="85">
        <f t="shared" si="0"/>
        <v>5000</v>
      </c>
      <c r="H15" s="85">
        <v>0</v>
      </c>
      <c r="I15" s="86">
        <f t="shared" si="1"/>
        <v>0</v>
      </c>
      <c r="J15" s="86">
        <f t="shared" si="2"/>
        <v>5000</v>
      </c>
      <c r="K15" s="530" t="s">
        <v>89</v>
      </c>
    </row>
    <row r="16" spans="1:11">
      <c r="A16" s="10"/>
      <c r="B16" s="81" t="s">
        <v>80</v>
      </c>
      <c r="C16" s="82" t="s">
        <v>301</v>
      </c>
      <c r="D16" s="335">
        <v>1</v>
      </c>
      <c r="E16" s="84" t="s">
        <v>60</v>
      </c>
      <c r="F16" s="85">
        <v>45000</v>
      </c>
      <c r="G16" s="85">
        <f>+F16*D16</f>
        <v>45000</v>
      </c>
      <c r="H16" s="85">
        <v>0</v>
      </c>
      <c r="I16" s="86">
        <f>D16*H16</f>
        <v>0</v>
      </c>
      <c r="J16" s="86">
        <f>G16+I16</f>
        <v>45000</v>
      </c>
      <c r="K16" s="530" t="s">
        <v>300</v>
      </c>
    </row>
    <row r="17" spans="1:11">
      <c r="A17" s="10"/>
      <c r="B17" s="529" t="s">
        <v>229</v>
      </c>
      <c r="C17" s="82"/>
      <c r="D17" s="335"/>
      <c r="E17" s="84"/>
      <c r="F17" s="85"/>
      <c r="G17" s="85"/>
      <c r="H17" s="85"/>
      <c r="I17" s="86"/>
      <c r="J17" s="86"/>
      <c r="K17" s="530"/>
    </row>
    <row r="18" spans="1:11">
      <c r="A18" s="10"/>
      <c r="B18" s="81" t="s">
        <v>80</v>
      </c>
      <c r="C18" s="82" t="s">
        <v>498</v>
      </c>
      <c r="D18" s="335">
        <v>2</v>
      </c>
      <c r="E18" s="84" t="s">
        <v>60</v>
      </c>
      <c r="F18" s="85">
        <v>18500</v>
      </c>
      <c r="G18" s="85">
        <f t="shared" ref="G18:G20" si="3">+F18*D18</f>
        <v>37000</v>
      </c>
      <c r="H18" s="85">
        <v>0</v>
      </c>
      <c r="I18" s="86">
        <f t="shared" ref="I18:I20" si="4">D18*H18</f>
        <v>0</v>
      </c>
      <c r="J18" s="86">
        <f t="shared" ref="J18:J20" si="5">G18+I18</f>
        <v>37000</v>
      </c>
      <c r="K18" s="530" t="s">
        <v>89</v>
      </c>
    </row>
    <row r="19" spans="1:11">
      <c r="A19" s="10"/>
      <c r="B19" s="81" t="s">
        <v>80</v>
      </c>
      <c r="C19" s="82" t="s">
        <v>496</v>
      </c>
      <c r="D19" s="335">
        <v>5</v>
      </c>
      <c r="E19" s="84" t="s">
        <v>60</v>
      </c>
      <c r="F19" s="85">
        <v>5000</v>
      </c>
      <c r="G19" s="85">
        <f t="shared" si="3"/>
        <v>25000</v>
      </c>
      <c r="H19" s="85">
        <v>0</v>
      </c>
      <c r="I19" s="86">
        <f t="shared" si="4"/>
        <v>0</v>
      </c>
      <c r="J19" s="86">
        <f t="shared" si="5"/>
        <v>25000</v>
      </c>
      <c r="K19" s="530" t="s">
        <v>89</v>
      </c>
    </row>
    <row r="20" spans="1:11">
      <c r="A20" s="10"/>
      <c r="B20" s="81" t="s">
        <v>80</v>
      </c>
      <c r="C20" s="82" t="s">
        <v>499</v>
      </c>
      <c r="D20" s="335">
        <v>1</v>
      </c>
      <c r="E20" s="84" t="s">
        <v>60</v>
      </c>
      <c r="F20" s="85">
        <v>12500</v>
      </c>
      <c r="G20" s="85">
        <f t="shared" si="3"/>
        <v>12500</v>
      </c>
      <c r="H20" s="85">
        <v>0</v>
      </c>
      <c r="I20" s="86">
        <f t="shared" si="4"/>
        <v>0</v>
      </c>
      <c r="J20" s="86">
        <f t="shared" si="5"/>
        <v>12500</v>
      </c>
      <c r="K20" s="530" t="s">
        <v>89</v>
      </c>
    </row>
    <row r="21" spans="1:11">
      <c r="A21" s="10"/>
      <c r="B21" s="529" t="s">
        <v>230</v>
      </c>
      <c r="C21" s="82"/>
      <c r="D21" s="335"/>
      <c r="E21" s="84"/>
      <c r="F21" s="85"/>
      <c r="G21" s="85"/>
      <c r="H21" s="85"/>
      <c r="I21" s="86"/>
      <c r="J21" s="86"/>
      <c r="K21" s="530"/>
    </row>
    <row r="22" spans="1:11">
      <c r="A22" s="10"/>
      <c r="B22" s="81" t="s">
        <v>80</v>
      </c>
      <c r="C22" s="82" t="s">
        <v>500</v>
      </c>
      <c r="D22" s="335">
        <v>2</v>
      </c>
      <c r="E22" s="84" t="s">
        <v>60</v>
      </c>
      <c r="F22" s="85">
        <v>18500</v>
      </c>
      <c r="G22" s="85">
        <f t="shared" ref="G22:G24" si="6">+F22*D22</f>
        <v>37000</v>
      </c>
      <c r="H22" s="85">
        <v>0</v>
      </c>
      <c r="I22" s="86">
        <f t="shared" ref="I22:I24" si="7">D22*H22</f>
        <v>0</v>
      </c>
      <c r="J22" s="86">
        <f t="shared" ref="J22:J24" si="8">G22+I22</f>
        <v>37000</v>
      </c>
      <c r="K22" s="530" t="s">
        <v>89</v>
      </c>
    </row>
    <row r="23" spans="1:11">
      <c r="A23" s="10"/>
      <c r="B23" s="81" t="s">
        <v>80</v>
      </c>
      <c r="C23" s="82" t="s">
        <v>496</v>
      </c>
      <c r="D23" s="335">
        <v>5</v>
      </c>
      <c r="E23" s="84" t="s">
        <v>60</v>
      </c>
      <c r="F23" s="85">
        <v>5000</v>
      </c>
      <c r="G23" s="85">
        <f t="shared" si="6"/>
        <v>25000</v>
      </c>
      <c r="H23" s="85">
        <v>0</v>
      </c>
      <c r="I23" s="86">
        <f t="shared" si="7"/>
        <v>0</v>
      </c>
      <c r="J23" s="86">
        <f t="shared" si="8"/>
        <v>25000</v>
      </c>
      <c r="K23" s="530" t="s">
        <v>89</v>
      </c>
    </row>
    <row r="24" spans="1:11">
      <c r="A24" s="10"/>
      <c r="B24" s="81" t="s">
        <v>80</v>
      </c>
      <c r="C24" s="82" t="s">
        <v>499</v>
      </c>
      <c r="D24" s="335">
        <v>1</v>
      </c>
      <c r="E24" s="84" t="s">
        <v>60</v>
      </c>
      <c r="F24" s="85">
        <v>12500</v>
      </c>
      <c r="G24" s="85">
        <f t="shared" si="6"/>
        <v>12500</v>
      </c>
      <c r="H24" s="85">
        <v>0</v>
      </c>
      <c r="I24" s="86">
        <f t="shared" si="7"/>
        <v>0</v>
      </c>
      <c r="J24" s="86">
        <f t="shared" si="8"/>
        <v>12500</v>
      </c>
      <c r="K24" s="530" t="s">
        <v>89</v>
      </c>
    </row>
    <row r="25" spans="1:11">
      <c r="A25" s="10"/>
      <c r="B25" s="529" t="s">
        <v>231</v>
      </c>
      <c r="C25" s="82"/>
      <c r="D25" s="335"/>
      <c r="E25" s="84"/>
      <c r="F25" s="85"/>
      <c r="G25" s="85"/>
      <c r="H25" s="85"/>
      <c r="I25" s="86"/>
      <c r="J25" s="86"/>
      <c r="K25" s="530"/>
    </row>
    <row r="26" spans="1:11">
      <c r="A26" s="10"/>
      <c r="B26" s="81" t="s">
        <v>80</v>
      </c>
      <c r="C26" s="82" t="s">
        <v>500</v>
      </c>
      <c r="D26" s="335">
        <v>3</v>
      </c>
      <c r="E26" s="84" t="s">
        <v>60</v>
      </c>
      <c r="F26" s="85">
        <v>18500</v>
      </c>
      <c r="G26" s="85">
        <f t="shared" ref="G26:G28" si="9">+F26*D26</f>
        <v>55500</v>
      </c>
      <c r="H26" s="85">
        <v>0</v>
      </c>
      <c r="I26" s="86">
        <f t="shared" ref="I26:I28" si="10">D26*H26</f>
        <v>0</v>
      </c>
      <c r="J26" s="86">
        <f t="shared" ref="J26:J28" si="11">G26+I26</f>
        <v>55500</v>
      </c>
      <c r="K26" s="530" t="s">
        <v>89</v>
      </c>
    </row>
    <row r="27" spans="1:11">
      <c r="A27" s="10"/>
      <c r="B27" s="81" t="s">
        <v>80</v>
      </c>
      <c r="C27" s="82" t="s">
        <v>496</v>
      </c>
      <c r="D27" s="335">
        <v>7</v>
      </c>
      <c r="E27" s="84" t="s">
        <v>60</v>
      </c>
      <c r="F27" s="85">
        <v>5000</v>
      </c>
      <c r="G27" s="85">
        <f t="shared" si="9"/>
        <v>35000</v>
      </c>
      <c r="H27" s="85">
        <v>0</v>
      </c>
      <c r="I27" s="86">
        <f t="shared" si="10"/>
        <v>0</v>
      </c>
      <c r="J27" s="86">
        <f t="shared" si="11"/>
        <v>35000</v>
      </c>
      <c r="K27" s="530" t="s">
        <v>89</v>
      </c>
    </row>
    <row r="28" spans="1:11">
      <c r="A28" s="10"/>
      <c r="B28" s="81" t="s">
        <v>80</v>
      </c>
      <c r="C28" s="82" t="s">
        <v>499</v>
      </c>
      <c r="D28" s="335">
        <v>1</v>
      </c>
      <c r="E28" s="84" t="s">
        <v>60</v>
      </c>
      <c r="F28" s="85">
        <v>12500</v>
      </c>
      <c r="G28" s="85">
        <f t="shared" si="9"/>
        <v>12500</v>
      </c>
      <c r="H28" s="85">
        <v>0</v>
      </c>
      <c r="I28" s="86">
        <f t="shared" si="10"/>
        <v>0</v>
      </c>
      <c r="J28" s="86">
        <f t="shared" si="11"/>
        <v>12500</v>
      </c>
      <c r="K28" s="530" t="s">
        <v>89</v>
      </c>
    </row>
    <row r="29" spans="1:11" ht="22.5" thickBot="1">
      <c r="A29" s="433"/>
      <c r="B29" s="682" t="s">
        <v>308</v>
      </c>
      <c r="C29" s="683"/>
      <c r="D29" s="434"/>
      <c r="E29" s="433"/>
      <c r="F29" s="435"/>
      <c r="G29" s="436">
        <f>SUM(G10:G28)</f>
        <v>372500</v>
      </c>
      <c r="H29" s="435"/>
      <c r="I29" s="436">
        <f>SUM(I10:I28)</f>
        <v>0</v>
      </c>
      <c r="J29" s="437">
        <f>SUM(J10:J28)</f>
        <v>372500</v>
      </c>
      <c r="K29" s="438"/>
    </row>
    <row r="37" spans="1:11" s="373" customFormat="1">
      <c r="A37" s="116"/>
      <c r="B37" s="5"/>
      <c r="C37" s="527"/>
      <c r="D37" s="117"/>
      <c r="E37" s="5"/>
      <c r="F37" s="118"/>
      <c r="G37" s="118"/>
      <c r="H37" s="118"/>
      <c r="I37" s="118"/>
      <c r="J37" s="118"/>
      <c r="K37" s="5"/>
    </row>
    <row r="38" spans="1:11" s="453" customFormat="1">
      <c r="A38" s="116"/>
      <c r="B38" s="5"/>
      <c r="C38" s="527"/>
      <c r="D38" s="117"/>
      <c r="E38" s="5"/>
      <c r="F38" s="118"/>
      <c r="G38" s="118"/>
      <c r="H38" s="118"/>
      <c r="I38" s="118"/>
      <c r="J38" s="118"/>
      <c r="K38" s="5"/>
    </row>
    <row r="41" spans="1:11" s="373" customFormat="1">
      <c r="A41" s="116"/>
      <c r="B41" s="5"/>
      <c r="C41" s="527"/>
      <c r="D41" s="117"/>
      <c r="E41" s="5"/>
      <c r="F41" s="118"/>
      <c r="G41" s="118"/>
      <c r="H41" s="118"/>
      <c r="I41" s="118"/>
      <c r="J41" s="118"/>
      <c r="K41" s="5"/>
    </row>
    <row r="42" spans="1:11" s="408" customFormat="1">
      <c r="A42" s="116"/>
      <c r="B42" s="5"/>
      <c r="C42" s="527"/>
      <c r="D42" s="117"/>
      <c r="E42" s="5"/>
      <c r="F42" s="118"/>
      <c r="G42" s="118"/>
      <c r="H42" s="118"/>
      <c r="I42" s="118"/>
      <c r="J42" s="118"/>
      <c r="K42" s="5"/>
    </row>
  </sheetData>
  <mergeCells count="2">
    <mergeCell ref="B29:C29"/>
    <mergeCell ref="I5:J5"/>
  </mergeCells>
  <printOptions horizontalCentered="1"/>
  <pageMargins left="0.2" right="0.2" top="0.5" bottom="0.5" header="0.3" footer="0.3"/>
  <pageSetup paperSize="9" scale="80" fitToHeight="25" orientation="landscape" horizontalDpi="300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indexed="10"/>
  </sheetPr>
  <dimension ref="A1:K83"/>
  <sheetViews>
    <sheetView showGridLines="0" showZeros="0" view="pageBreakPreview" zoomScale="85" zoomScaleNormal="85" zoomScaleSheetLayoutView="85" workbookViewId="0">
      <pane ySplit="8" topLeftCell="A54" activePane="bottomLeft" state="frozen"/>
      <selection activeCell="F45" sqref="F45"/>
      <selection pane="bottomLeft" activeCell="M57" sqref="M57"/>
    </sheetView>
  </sheetViews>
  <sheetFormatPr defaultColWidth="9.140625" defaultRowHeight="21.75"/>
  <cols>
    <col min="1" max="1" width="6.140625" style="116" customWidth="1"/>
    <col min="2" max="2" width="6.140625" style="5" customWidth="1"/>
    <col min="3" max="3" width="55.7109375" style="527" customWidth="1"/>
    <col min="4" max="4" width="10.7109375" style="117" customWidth="1"/>
    <col min="5" max="5" width="8.7109375" style="5" customWidth="1"/>
    <col min="6" max="9" width="15.7109375" style="118" customWidth="1"/>
    <col min="10" max="10" width="18.7109375" style="118" customWidth="1"/>
    <col min="11" max="11" width="15.7109375" style="5" customWidth="1"/>
    <col min="12" max="12" width="13.5703125" style="5" customWidth="1"/>
    <col min="13" max="13" width="25.7109375" style="5" bestFit="1" customWidth="1"/>
    <col min="14" max="16384" width="9.140625" style="5"/>
  </cols>
  <sheetData>
    <row r="1" spans="1:11" s="1" customFormat="1" ht="27" customHeight="1">
      <c r="A1" s="68" t="s">
        <v>401</v>
      </c>
      <c r="B1" s="68"/>
      <c r="C1" s="68" t="str">
        <f ca="1">'1.1.ST'!C1</f>
        <v>งานออกแบบและก่อสร้าง  กองอาคารและสถานที่ มหาวิทยาลัยขอนแก่น</v>
      </c>
      <c r="D1" s="68"/>
      <c r="E1" s="68"/>
      <c r="F1" s="68"/>
      <c r="G1" s="68"/>
      <c r="H1" s="68"/>
      <c r="I1" s="68" t="s">
        <v>43</v>
      </c>
      <c r="J1" s="68" t="s">
        <v>44</v>
      </c>
      <c r="K1" s="68"/>
    </row>
    <row r="2" spans="1:11" s="1" customFormat="1">
      <c r="A2" s="634" t="str">
        <f>' ปร.6'!A3</f>
        <v>ชื่อโครง  โครงการปรับปรุงห้องปฏิบัติการเคมี อาคาร sc.04 คณะวิทยาศาสตร์</v>
      </c>
      <c r="B2" s="634"/>
      <c r="C2" s="634"/>
      <c r="D2" s="68"/>
      <c r="E2" s="68"/>
      <c r="F2" s="68"/>
      <c r="G2" s="68"/>
      <c r="H2" s="68"/>
      <c r="I2" s="68"/>
      <c r="J2" s="68"/>
      <c r="K2" s="68"/>
    </row>
    <row r="3" spans="1:11" s="1" customFormat="1">
      <c r="A3" s="68" t="s">
        <v>88</v>
      </c>
      <c r="B3" s="68"/>
      <c r="C3" s="519" t="s">
        <v>54</v>
      </c>
      <c r="D3" s="68" t="s">
        <v>6</v>
      </c>
      <c r="E3" s="68"/>
      <c r="F3" s="68"/>
      <c r="G3" s="68"/>
      <c r="H3" s="68" t="s">
        <v>45</v>
      </c>
      <c r="I3" s="68"/>
      <c r="J3" s="68"/>
      <c r="K3" s="68"/>
    </row>
    <row r="4" spans="1:11" s="1" customFormat="1">
      <c r="A4" s="68" t="s">
        <v>46</v>
      </c>
      <c r="B4" s="68"/>
      <c r="C4" s="519" t="str">
        <f ca="1">'1.1.ST'!C4</f>
        <v>งานออกแบบและก่อสร้าง</v>
      </c>
      <c r="D4" s="68" t="s">
        <v>47</v>
      </c>
      <c r="E4" s="68" t="s">
        <v>61</v>
      </c>
      <c r="F4" s="68"/>
      <c r="G4" s="68"/>
      <c r="H4" s="68" t="s">
        <v>48</v>
      </c>
      <c r="I4" s="68"/>
      <c r="J4" s="68"/>
      <c r="K4" s="68"/>
    </row>
    <row r="5" spans="1:11" s="1" customFormat="1">
      <c r="A5" s="68" t="s">
        <v>182</v>
      </c>
      <c r="B5" s="68"/>
      <c r="C5" s="519"/>
      <c r="D5" s="68"/>
      <c r="E5" s="68"/>
      <c r="F5" s="68"/>
      <c r="G5" s="68"/>
      <c r="H5" s="69" t="s">
        <v>52</v>
      </c>
      <c r="I5" s="661"/>
      <c r="J5" s="661"/>
      <c r="K5" s="68" t="s">
        <v>22</v>
      </c>
    </row>
    <row r="6" spans="1:11" s="2" customFormat="1" ht="22.5" thickBot="1">
      <c r="A6" s="6"/>
      <c r="B6" s="6"/>
      <c r="C6" s="520"/>
      <c r="D6" s="8"/>
      <c r="E6" s="8"/>
      <c r="F6" s="70"/>
      <c r="G6" s="71"/>
      <c r="H6" s="71"/>
      <c r="I6" s="70"/>
      <c r="J6" s="70"/>
      <c r="K6" s="7"/>
    </row>
    <row r="7" spans="1:11" s="2" customFormat="1">
      <c r="A7" s="72" t="s">
        <v>49</v>
      </c>
      <c r="B7" s="636"/>
      <c r="C7" s="635" t="s">
        <v>1</v>
      </c>
      <c r="D7" s="99" t="s">
        <v>2</v>
      </c>
      <c r="E7" s="74" t="s">
        <v>3</v>
      </c>
      <c r="F7" s="100" t="s">
        <v>23</v>
      </c>
      <c r="G7" s="101"/>
      <c r="H7" s="100" t="s">
        <v>4</v>
      </c>
      <c r="I7" s="101"/>
      <c r="J7" s="102" t="s">
        <v>50</v>
      </c>
      <c r="K7" s="75" t="s">
        <v>5</v>
      </c>
    </row>
    <row r="8" spans="1:11" s="2" customFormat="1" ht="22.5" thickBot="1">
      <c r="A8" s="76"/>
      <c r="B8" s="77"/>
      <c r="C8" s="604"/>
      <c r="D8" s="605"/>
      <c r="E8" s="79"/>
      <c r="F8" s="606" t="s">
        <v>51</v>
      </c>
      <c r="G8" s="606" t="s">
        <v>13</v>
      </c>
      <c r="H8" s="606" t="s">
        <v>51</v>
      </c>
      <c r="I8" s="606" t="s">
        <v>13</v>
      </c>
      <c r="J8" s="607"/>
      <c r="K8" s="80"/>
    </row>
    <row r="9" spans="1:11">
      <c r="A9" s="597"/>
      <c r="B9" s="598" t="s">
        <v>126</v>
      </c>
      <c r="C9" s="599"/>
      <c r="D9" s="600"/>
      <c r="E9" s="601"/>
      <c r="F9" s="602"/>
      <c r="G9" s="602"/>
      <c r="H9" s="602"/>
      <c r="I9" s="602"/>
      <c r="J9" s="602"/>
      <c r="K9" s="603"/>
    </row>
    <row r="10" spans="1:11">
      <c r="A10" s="441">
        <v>2.2999999999999998</v>
      </c>
      <c r="B10" s="442" t="s">
        <v>526</v>
      </c>
      <c r="C10" s="443"/>
      <c r="D10" s="444"/>
      <c r="E10" s="445"/>
      <c r="F10" s="446"/>
      <c r="G10" s="446"/>
      <c r="H10" s="446"/>
      <c r="I10" s="447"/>
      <c r="J10" s="447"/>
      <c r="K10" s="448"/>
    </row>
    <row r="11" spans="1:11">
      <c r="A11" s="10"/>
      <c r="B11" s="338" t="s">
        <v>260</v>
      </c>
      <c r="C11" s="82"/>
      <c r="D11" s="335"/>
      <c r="E11" s="10"/>
      <c r="F11" s="85"/>
      <c r="G11" s="85"/>
      <c r="H11" s="85"/>
      <c r="I11" s="86"/>
      <c r="J11" s="87"/>
      <c r="K11" s="336"/>
    </row>
    <row r="12" spans="1:11">
      <c r="A12" s="10"/>
      <c r="B12" s="81" t="s">
        <v>232</v>
      </c>
      <c r="C12" s="82" t="s">
        <v>501</v>
      </c>
      <c r="D12" s="335">
        <v>39</v>
      </c>
      <c r="E12" s="84" t="s">
        <v>60</v>
      </c>
      <c r="F12" s="85">
        <v>6500</v>
      </c>
      <c r="G12" s="85">
        <f t="shared" ref="G12:G14" si="0">+F12*D12</f>
        <v>253500</v>
      </c>
      <c r="H12" s="85">
        <v>0</v>
      </c>
      <c r="I12" s="86">
        <f t="shared" ref="I12:I14" si="1">D12*H12</f>
        <v>0</v>
      </c>
      <c r="J12" s="86">
        <f t="shared" ref="J12:J14" si="2">G12+I12</f>
        <v>253500</v>
      </c>
      <c r="K12" s="530" t="s">
        <v>89</v>
      </c>
    </row>
    <row r="13" spans="1:11">
      <c r="A13" s="10"/>
      <c r="B13" s="81" t="s">
        <v>234</v>
      </c>
      <c r="C13" s="82" t="s">
        <v>233</v>
      </c>
      <c r="D13" s="335">
        <v>78</v>
      </c>
      <c r="E13" s="84" t="s">
        <v>60</v>
      </c>
      <c r="F13" s="85">
        <v>4000</v>
      </c>
      <c r="G13" s="85">
        <f t="shared" si="0"/>
        <v>312000</v>
      </c>
      <c r="H13" s="85">
        <v>0</v>
      </c>
      <c r="I13" s="86">
        <f t="shared" si="1"/>
        <v>0</v>
      </c>
      <c r="J13" s="86">
        <f t="shared" si="2"/>
        <v>312000</v>
      </c>
      <c r="K13" s="530" t="s">
        <v>89</v>
      </c>
    </row>
    <row r="14" spans="1:11" ht="43.5">
      <c r="A14" s="10"/>
      <c r="B14" s="81" t="s">
        <v>259</v>
      </c>
      <c r="C14" s="82" t="s">
        <v>473</v>
      </c>
      <c r="D14" s="335">
        <v>2</v>
      </c>
      <c r="E14" s="84" t="s">
        <v>60</v>
      </c>
      <c r="F14" s="85">
        <v>22500</v>
      </c>
      <c r="G14" s="85">
        <f t="shared" si="0"/>
        <v>45000</v>
      </c>
      <c r="H14" s="85">
        <v>0</v>
      </c>
      <c r="I14" s="86">
        <f t="shared" si="1"/>
        <v>0</v>
      </c>
      <c r="J14" s="86">
        <f t="shared" si="2"/>
        <v>45000</v>
      </c>
      <c r="K14" s="530" t="s">
        <v>89</v>
      </c>
    </row>
    <row r="15" spans="1:11">
      <c r="A15" s="10"/>
      <c r="B15" s="338" t="s">
        <v>239</v>
      </c>
      <c r="C15" s="82"/>
      <c r="D15" s="335"/>
      <c r="E15" s="84"/>
      <c r="F15" s="85"/>
      <c r="G15" s="85"/>
      <c r="H15" s="85"/>
      <c r="I15" s="86"/>
      <c r="J15" s="86"/>
      <c r="K15" s="530"/>
    </row>
    <row r="16" spans="1:11">
      <c r="A16" s="10"/>
      <c r="B16" s="543" t="s">
        <v>232</v>
      </c>
      <c r="C16" s="544" t="s">
        <v>512</v>
      </c>
      <c r="D16" s="545">
        <v>8</v>
      </c>
      <c r="E16" s="546" t="s">
        <v>60</v>
      </c>
      <c r="F16" s="547">
        <v>6800</v>
      </c>
      <c r="G16" s="547">
        <f t="shared" ref="G16:G18" si="3">+F16*D16</f>
        <v>54400</v>
      </c>
      <c r="H16" s="547">
        <v>0</v>
      </c>
      <c r="I16" s="548">
        <f t="shared" ref="I16:I18" si="4">D16*H16</f>
        <v>0</v>
      </c>
      <c r="J16" s="548">
        <f t="shared" ref="J16:J18" si="5">G16+I16</f>
        <v>54400</v>
      </c>
      <c r="K16" s="549" t="s">
        <v>89</v>
      </c>
    </row>
    <row r="17" spans="1:11">
      <c r="A17" s="10"/>
      <c r="B17" s="543" t="s">
        <v>234</v>
      </c>
      <c r="C17" s="544" t="s">
        <v>233</v>
      </c>
      <c r="D17" s="545">
        <v>13</v>
      </c>
      <c r="E17" s="546" t="s">
        <v>60</v>
      </c>
      <c r="F17" s="547">
        <v>4000</v>
      </c>
      <c r="G17" s="547">
        <f t="shared" si="3"/>
        <v>52000</v>
      </c>
      <c r="H17" s="547">
        <v>0</v>
      </c>
      <c r="I17" s="548">
        <f t="shared" si="4"/>
        <v>0</v>
      </c>
      <c r="J17" s="548">
        <f t="shared" si="5"/>
        <v>52000</v>
      </c>
      <c r="K17" s="549" t="s">
        <v>89</v>
      </c>
    </row>
    <row r="18" spans="1:11" ht="43.5">
      <c r="A18" s="10"/>
      <c r="B18" s="81" t="s">
        <v>259</v>
      </c>
      <c r="C18" s="82" t="s">
        <v>473</v>
      </c>
      <c r="D18" s="335">
        <v>2</v>
      </c>
      <c r="E18" s="84" t="s">
        <v>60</v>
      </c>
      <c r="F18" s="85">
        <v>22500</v>
      </c>
      <c r="G18" s="85">
        <f t="shared" si="3"/>
        <v>45000</v>
      </c>
      <c r="H18" s="85">
        <v>0</v>
      </c>
      <c r="I18" s="86">
        <f t="shared" si="4"/>
        <v>0</v>
      </c>
      <c r="J18" s="86">
        <f t="shared" si="5"/>
        <v>45000</v>
      </c>
      <c r="K18" s="530" t="s">
        <v>89</v>
      </c>
    </row>
    <row r="19" spans="1:11">
      <c r="A19" s="10"/>
      <c r="B19" s="338" t="s">
        <v>275</v>
      </c>
      <c r="C19" s="82"/>
      <c r="D19" s="335"/>
      <c r="E19" s="84"/>
      <c r="F19" s="85"/>
      <c r="G19" s="85"/>
      <c r="H19" s="85"/>
      <c r="I19" s="86"/>
      <c r="J19" s="86"/>
      <c r="K19" s="530"/>
    </row>
    <row r="20" spans="1:11">
      <c r="A20" s="10"/>
      <c r="B20" s="81" t="s">
        <v>235</v>
      </c>
      <c r="C20" s="82" t="s">
        <v>236</v>
      </c>
      <c r="D20" s="335">
        <v>3</v>
      </c>
      <c r="E20" s="84" t="s">
        <v>60</v>
      </c>
      <c r="F20" s="85">
        <v>4500</v>
      </c>
      <c r="G20" s="85">
        <f t="shared" ref="G20:G22" si="6">+F20*D20</f>
        <v>13500</v>
      </c>
      <c r="H20" s="85">
        <v>0</v>
      </c>
      <c r="I20" s="86">
        <f t="shared" ref="I20:I22" si="7">D20*H20</f>
        <v>0</v>
      </c>
      <c r="J20" s="86">
        <f t="shared" ref="J20:J22" si="8">G20+I20</f>
        <v>13500</v>
      </c>
      <c r="K20" s="530" t="s">
        <v>89</v>
      </c>
    </row>
    <row r="21" spans="1:11">
      <c r="A21" s="10"/>
      <c r="B21" s="81" t="s">
        <v>238</v>
      </c>
      <c r="C21" s="82" t="s">
        <v>237</v>
      </c>
      <c r="D21" s="335">
        <v>21</v>
      </c>
      <c r="E21" s="84" t="s">
        <v>60</v>
      </c>
      <c r="F21" s="85">
        <v>3500</v>
      </c>
      <c r="G21" s="85">
        <f t="shared" si="6"/>
        <v>73500</v>
      </c>
      <c r="H21" s="85">
        <v>0</v>
      </c>
      <c r="I21" s="86">
        <f t="shared" si="7"/>
        <v>0</v>
      </c>
      <c r="J21" s="86">
        <f t="shared" si="8"/>
        <v>73500</v>
      </c>
      <c r="K21" s="530" t="s">
        <v>89</v>
      </c>
    </row>
    <row r="22" spans="1:11" ht="43.5">
      <c r="A22" s="10"/>
      <c r="B22" s="81" t="s">
        <v>259</v>
      </c>
      <c r="C22" s="82" t="s">
        <v>473</v>
      </c>
      <c r="D22" s="335">
        <v>2</v>
      </c>
      <c r="E22" s="84" t="s">
        <v>60</v>
      </c>
      <c r="F22" s="85">
        <v>22500</v>
      </c>
      <c r="G22" s="85">
        <f t="shared" si="6"/>
        <v>45000</v>
      </c>
      <c r="H22" s="85">
        <v>0</v>
      </c>
      <c r="I22" s="86">
        <f t="shared" si="7"/>
        <v>0</v>
      </c>
      <c r="J22" s="86">
        <f t="shared" si="8"/>
        <v>45000</v>
      </c>
      <c r="K22" s="530" t="s">
        <v>89</v>
      </c>
    </row>
    <row r="23" spans="1:11">
      <c r="A23" s="10"/>
      <c r="B23" s="338" t="s">
        <v>427</v>
      </c>
      <c r="C23" s="82"/>
      <c r="D23" s="335"/>
      <c r="E23" s="84"/>
      <c r="F23" s="85"/>
      <c r="G23" s="85"/>
      <c r="H23" s="85"/>
      <c r="I23" s="86"/>
      <c r="J23" s="86"/>
      <c r="K23" s="530"/>
    </row>
    <row r="24" spans="1:11">
      <c r="A24" s="10"/>
      <c r="B24" s="338" t="s">
        <v>240</v>
      </c>
      <c r="C24" s="82"/>
      <c r="D24" s="335"/>
      <c r="E24" s="84"/>
      <c r="F24" s="85"/>
      <c r="G24" s="85"/>
      <c r="H24" s="85"/>
      <c r="I24" s="86"/>
      <c r="J24" s="86"/>
      <c r="K24" s="530"/>
    </row>
    <row r="25" spans="1:11">
      <c r="A25" s="10"/>
      <c r="B25" s="81" t="s">
        <v>235</v>
      </c>
      <c r="C25" s="82" t="s">
        <v>236</v>
      </c>
      <c r="D25" s="335">
        <v>4</v>
      </c>
      <c r="E25" s="84" t="s">
        <v>60</v>
      </c>
      <c r="F25" s="85">
        <v>4500</v>
      </c>
      <c r="G25" s="85">
        <f t="shared" ref="G25:G27" si="9">+F25*D25</f>
        <v>18000</v>
      </c>
      <c r="H25" s="85">
        <v>0</v>
      </c>
      <c r="I25" s="86">
        <f t="shared" ref="I25:I27" si="10">D25*H25</f>
        <v>0</v>
      </c>
      <c r="J25" s="86">
        <f t="shared" ref="J25:J27" si="11">G25+I25</f>
        <v>18000</v>
      </c>
      <c r="K25" s="530" t="s">
        <v>89</v>
      </c>
    </row>
    <row r="26" spans="1:11">
      <c r="A26" s="10"/>
      <c r="B26" s="81" t="s">
        <v>238</v>
      </c>
      <c r="C26" s="82" t="s">
        <v>237</v>
      </c>
      <c r="D26" s="335">
        <v>21</v>
      </c>
      <c r="E26" s="84" t="s">
        <v>60</v>
      </c>
      <c r="F26" s="85">
        <v>3500</v>
      </c>
      <c r="G26" s="85">
        <f t="shared" si="9"/>
        <v>73500</v>
      </c>
      <c r="H26" s="85">
        <v>0</v>
      </c>
      <c r="I26" s="86">
        <f t="shared" si="10"/>
        <v>0</v>
      </c>
      <c r="J26" s="86">
        <f t="shared" si="11"/>
        <v>73500</v>
      </c>
      <c r="K26" s="530" t="s">
        <v>89</v>
      </c>
    </row>
    <row r="27" spans="1:11" ht="43.5">
      <c r="A27" s="10"/>
      <c r="B27" s="81" t="s">
        <v>259</v>
      </c>
      <c r="C27" s="82" t="s">
        <v>473</v>
      </c>
      <c r="D27" s="335">
        <v>2</v>
      </c>
      <c r="E27" s="84" t="s">
        <v>60</v>
      </c>
      <c r="F27" s="85">
        <v>22500</v>
      </c>
      <c r="G27" s="85">
        <f t="shared" si="9"/>
        <v>45000</v>
      </c>
      <c r="H27" s="85">
        <v>0</v>
      </c>
      <c r="I27" s="86">
        <f t="shared" si="10"/>
        <v>0</v>
      </c>
      <c r="J27" s="86">
        <f t="shared" si="11"/>
        <v>45000</v>
      </c>
      <c r="K27" s="530" t="s">
        <v>89</v>
      </c>
    </row>
    <row r="28" spans="1:11">
      <c r="A28" s="10"/>
      <c r="B28" s="338" t="s">
        <v>428</v>
      </c>
      <c r="C28" s="82"/>
      <c r="D28" s="335"/>
      <c r="E28" s="84"/>
      <c r="F28" s="85"/>
      <c r="G28" s="85"/>
      <c r="H28" s="85"/>
      <c r="I28" s="86"/>
      <c r="J28" s="86"/>
      <c r="K28" s="530"/>
    </row>
    <row r="29" spans="1:11">
      <c r="A29" s="10"/>
      <c r="B29" s="338" t="s">
        <v>241</v>
      </c>
      <c r="C29" s="82"/>
      <c r="D29" s="335"/>
      <c r="E29" s="84"/>
      <c r="F29" s="85"/>
      <c r="G29" s="85"/>
      <c r="H29" s="85"/>
      <c r="I29" s="86"/>
      <c r="J29" s="86"/>
      <c r="K29" s="530"/>
    </row>
    <row r="30" spans="1:11">
      <c r="A30" s="10"/>
      <c r="B30" s="81" t="s">
        <v>235</v>
      </c>
      <c r="C30" s="82" t="s">
        <v>236</v>
      </c>
      <c r="D30" s="335">
        <v>4</v>
      </c>
      <c r="E30" s="84" t="s">
        <v>60</v>
      </c>
      <c r="F30" s="85">
        <v>4500</v>
      </c>
      <c r="G30" s="85">
        <f t="shared" ref="G30:G32" si="12">+F30*D30</f>
        <v>18000</v>
      </c>
      <c r="H30" s="85">
        <v>0</v>
      </c>
      <c r="I30" s="86">
        <f t="shared" ref="I30:I32" si="13">D30*H30</f>
        <v>0</v>
      </c>
      <c r="J30" s="86">
        <f t="shared" ref="J30:J32" si="14">G30+I30</f>
        <v>18000</v>
      </c>
      <c r="K30" s="530" t="s">
        <v>89</v>
      </c>
    </row>
    <row r="31" spans="1:11">
      <c r="A31" s="10"/>
      <c r="B31" s="81" t="s">
        <v>238</v>
      </c>
      <c r="C31" s="82" t="s">
        <v>237</v>
      </c>
      <c r="D31" s="335">
        <v>21</v>
      </c>
      <c r="E31" s="84" t="s">
        <v>60</v>
      </c>
      <c r="F31" s="85">
        <v>3500</v>
      </c>
      <c r="G31" s="85">
        <f t="shared" si="12"/>
        <v>73500</v>
      </c>
      <c r="H31" s="85">
        <v>0</v>
      </c>
      <c r="I31" s="86">
        <f t="shared" si="13"/>
        <v>0</v>
      </c>
      <c r="J31" s="86">
        <f t="shared" si="14"/>
        <v>73500</v>
      </c>
      <c r="K31" s="530" t="s">
        <v>89</v>
      </c>
    </row>
    <row r="32" spans="1:11" ht="43.5">
      <c r="A32" s="10"/>
      <c r="B32" s="81" t="s">
        <v>259</v>
      </c>
      <c r="C32" s="82" t="s">
        <v>473</v>
      </c>
      <c r="D32" s="335">
        <v>2</v>
      </c>
      <c r="E32" s="84" t="s">
        <v>60</v>
      </c>
      <c r="F32" s="85">
        <v>22500</v>
      </c>
      <c r="G32" s="85">
        <f t="shared" si="12"/>
        <v>45000</v>
      </c>
      <c r="H32" s="85">
        <v>0</v>
      </c>
      <c r="I32" s="86">
        <f t="shared" si="13"/>
        <v>0</v>
      </c>
      <c r="J32" s="86">
        <f t="shared" si="14"/>
        <v>45000</v>
      </c>
      <c r="K32" s="530" t="s">
        <v>89</v>
      </c>
    </row>
    <row r="33" spans="1:11">
      <c r="A33" s="10"/>
      <c r="B33" s="338" t="s">
        <v>429</v>
      </c>
      <c r="C33" s="82"/>
      <c r="D33" s="335"/>
      <c r="E33" s="10"/>
      <c r="F33" s="85"/>
      <c r="G33" s="85"/>
      <c r="H33" s="85"/>
      <c r="I33" s="86"/>
      <c r="J33" s="87"/>
      <c r="K33" s="336"/>
    </row>
    <row r="34" spans="1:11">
      <c r="A34" s="10"/>
      <c r="B34" s="338" t="s">
        <v>262</v>
      </c>
      <c r="C34" s="82"/>
      <c r="D34" s="335"/>
      <c r="E34" s="10"/>
      <c r="F34" s="85"/>
      <c r="G34" s="85"/>
      <c r="H34" s="85"/>
      <c r="I34" s="86"/>
      <c r="J34" s="87"/>
      <c r="K34" s="336"/>
    </row>
    <row r="35" spans="1:11">
      <c r="A35" s="10"/>
      <c r="B35" s="81" t="s">
        <v>235</v>
      </c>
      <c r="C35" s="82" t="s">
        <v>236</v>
      </c>
      <c r="D35" s="335">
        <v>2</v>
      </c>
      <c r="E35" s="10" t="s">
        <v>60</v>
      </c>
      <c r="F35" s="85">
        <v>4500</v>
      </c>
      <c r="G35" s="85">
        <f t="shared" ref="G35:G37" si="15">+F35*D35</f>
        <v>9000</v>
      </c>
      <c r="H35" s="85">
        <v>0</v>
      </c>
      <c r="I35" s="86">
        <f t="shared" ref="I35:I37" si="16">D35*H35</f>
        <v>0</v>
      </c>
      <c r="J35" s="87">
        <f t="shared" ref="J35:J37" si="17">G35+I35</f>
        <v>9000</v>
      </c>
      <c r="K35" s="336" t="s">
        <v>89</v>
      </c>
    </row>
    <row r="36" spans="1:11">
      <c r="A36" s="10"/>
      <c r="B36" s="81" t="s">
        <v>238</v>
      </c>
      <c r="C36" s="82" t="s">
        <v>237</v>
      </c>
      <c r="D36" s="335">
        <v>8</v>
      </c>
      <c r="E36" s="10" t="s">
        <v>60</v>
      </c>
      <c r="F36" s="85">
        <v>3500</v>
      </c>
      <c r="G36" s="85">
        <f t="shared" si="15"/>
        <v>28000</v>
      </c>
      <c r="H36" s="85">
        <v>0</v>
      </c>
      <c r="I36" s="86">
        <f t="shared" si="16"/>
        <v>0</v>
      </c>
      <c r="J36" s="87">
        <f t="shared" si="17"/>
        <v>28000</v>
      </c>
      <c r="K36" s="336" t="s">
        <v>89</v>
      </c>
    </row>
    <row r="37" spans="1:11" ht="43.5">
      <c r="A37" s="10"/>
      <c r="B37" s="81" t="s">
        <v>259</v>
      </c>
      <c r="C37" s="82" t="s">
        <v>473</v>
      </c>
      <c r="D37" s="335">
        <v>2</v>
      </c>
      <c r="E37" s="84" t="s">
        <v>60</v>
      </c>
      <c r="F37" s="85">
        <v>18500</v>
      </c>
      <c r="G37" s="85">
        <f t="shared" si="15"/>
        <v>37000</v>
      </c>
      <c r="H37" s="85">
        <v>0</v>
      </c>
      <c r="I37" s="86">
        <f t="shared" si="16"/>
        <v>0</v>
      </c>
      <c r="J37" s="86">
        <f t="shared" si="17"/>
        <v>37000</v>
      </c>
      <c r="K37" s="530" t="s">
        <v>89</v>
      </c>
    </row>
    <row r="38" spans="1:11">
      <c r="A38" s="10"/>
      <c r="B38" s="684" t="s">
        <v>440</v>
      </c>
      <c r="C38" s="685"/>
      <c r="D38" s="335"/>
      <c r="E38" s="10"/>
      <c r="F38" s="85"/>
      <c r="G38" s="85"/>
      <c r="H38" s="85"/>
      <c r="I38" s="86"/>
      <c r="J38" s="87"/>
      <c r="K38" s="336"/>
    </row>
    <row r="39" spans="1:11">
      <c r="A39" s="10"/>
      <c r="B39" s="517" t="s">
        <v>228</v>
      </c>
      <c r="C39" s="518"/>
      <c r="D39" s="335"/>
      <c r="E39" s="10"/>
      <c r="F39" s="85"/>
      <c r="G39" s="85"/>
      <c r="H39" s="85"/>
      <c r="I39" s="86"/>
      <c r="J39" s="87"/>
      <c r="K39" s="336"/>
    </row>
    <row r="40" spans="1:11">
      <c r="A40" s="10"/>
      <c r="B40" s="81"/>
      <c r="C40" s="82" t="s">
        <v>446</v>
      </c>
      <c r="D40" s="335">
        <v>1</v>
      </c>
      <c r="E40" s="10" t="s">
        <v>60</v>
      </c>
      <c r="F40" s="85">
        <v>14750</v>
      </c>
      <c r="G40" s="85">
        <f t="shared" ref="G40:G47" si="18">+F40*D40</f>
        <v>14750</v>
      </c>
      <c r="H40" s="85">
        <v>1750</v>
      </c>
      <c r="I40" s="86">
        <f t="shared" ref="I40:I47" si="19">D40*H40</f>
        <v>1750</v>
      </c>
      <c r="J40" s="87">
        <f t="shared" ref="J40:J47" si="20">G40+I40</f>
        <v>16500</v>
      </c>
      <c r="K40" s="336"/>
    </row>
    <row r="41" spans="1:11">
      <c r="A41" s="10"/>
      <c r="B41" s="81"/>
      <c r="C41" s="82" t="s">
        <v>441</v>
      </c>
      <c r="D41" s="335">
        <v>2</v>
      </c>
      <c r="E41" s="10" t="s">
        <v>60</v>
      </c>
      <c r="F41" s="85">
        <v>14750</v>
      </c>
      <c r="G41" s="85">
        <f t="shared" si="18"/>
        <v>29500</v>
      </c>
      <c r="H41" s="85">
        <v>1750</v>
      </c>
      <c r="I41" s="86">
        <f t="shared" si="19"/>
        <v>3500</v>
      </c>
      <c r="J41" s="87">
        <f t="shared" si="20"/>
        <v>33000</v>
      </c>
      <c r="K41" s="336"/>
    </row>
    <row r="42" spans="1:11">
      <c r="A42" s="10"/>
      <c r="B42" s="81"/>
      <c r="C42" s="82" t="s">
        <v>442</v>
      </c>
      <c r="D42" s="335">
        <v>2</v>
      </c>
      <c r="E42" s="10" t="s">
        <v>60</v>
      </c>
      <c r="F42" s="85">
        <v>14750</v>
      </c>
      <c r="G42" s="85">
        <f t="shared" si="18"/>
        <v>29500</v>
      </c>
      <c r="H42" s="85">
        <v>1750</v>
      </c>
      <c r="I42" s="86">
        <f t="shared" si="19"/>
        <v>3500</v>
      </c>
      <c r="J42" s="87">
        <f t="shared" si="20"/>
        <v>33000</v>
      </c>
      <c r="K42" s="336"/>
    </row>
    <row r="43" spans="1:11">
      <c r="A43" s="10"/>
      <c r="B43" s="81"/>
      <c r="C43" s="82" t="s">
        <v>448</v>
      </c>
      <c r="D43" s="335">
        <v>1</v>
      </c>
      <c r="E43" s="10" t="s">
        <v>60</v>
      </c>
      <c r="F43" s="85">
        <v>14750</v>
      </c>
      <c r="G43" s="85">
        <f t="shared" si="18"/>
        <v>14750</v>
      </c>
      <c r="H43" s="85">
        <v>1750</v>
      </c>
      <c r="I43" s="86">
        <f t="shared" si="19"/>
        <v>1750</v>
      </c>
      <c r="J43" s="87">
        <f t="shared" si="20"/>
        <v>16500</v>
      </c>
      <c r="K43" s="336"/>
    </row>
    <row r="44" spans="1:11">
      <c r="A44" s="10"/>
      <c r="B44" s="81"/>
      <c r="C44" s="82" t="s">
        <v>449</v>
      </c>
      <c r="D44" s="335">
        <v>1</v>
      </c>
      <c r="E44" s="10" t="s">
        <v>60</v>
      </c>
      <c r="F44" s="85">
        <f>5.23*5120</f>
        <v>26777.600000000002</v>
      </c>
      <c r="G44" s="85">
        <f t="shared" si="18"/>
        <v>26777.600000000002</v>
      </c>
      <c r="H44" s="85">
        <v>2650</v>
      </c>
      <c r="I44" s="86">
        <f t="shared" si="19"/>
        <v>2650</v>
      </c>
      <c r="J44" s="87">
        <f t="shared" si="20"/>
        <v>29427.600000000002</v>
      </c>
      <c r="K44" s="336"/>
    </row>
    <row r="45" spans="1:11">
      <c r="A45" s="10"/>
      <c r="B45" s="81"/>
      <c r="C45" s="82" t="s">
        <v>444</v>
      </c>
      <c r="D45" s="335">
        <v>1</v>
      </c>
      <c r="E45" s="10" t="s">
        <v>60</v>
      </c>
      <c r="F45" s="85">
        <v>14750</v>
      </c>
      <c r="G45" s="85">
        <f t="shared" si="18"/>
        <v>14750</v>
      </c>
      <c r="H45" s="85">
        <v>1750</v>
      </c>
      <c r="I45" s="86">
        <f t="shared" si="19"/>
        <v>1750</v>
      </c>
      <c r="J45" s="87">
        <f t="shared" si="20"/>
        <v>16500</v>
      </c>
      <c r="K45" s="336"/>
    </row>
    <row r="46" spans="1:11">
      <c r="A46" s="10"/>
      <c r="B46" s="81"/>
      <c r="C46" s="82" t="s">
        <v>443</v>
      </c>
      <c r="D46" s="335">
        <v>1</v>
      </c>
      <c r="E46" s="10" t="s">
        <v>60</v>
      </c>
      <c r="F46" s="85">
        <f>4.15*5120</f>
        <v>21248</v>
      </c>
      <c r="G46" s="85">
        <f t="shared" si="18"/>
        <v>21248</v>
      </c>
      <c r="H46" s="85">
        <v>2500</v>
      </c>
      <c r="I46" s="86">
        <f t="shared" si="19"/>
        <v>2500</v>
      </c>
      <c r="J46" s="87">
        <f t="shared" si="20"/>
        <v>23748</v>
      </c>
      <c r="K46" s="336"/>
    </row>
    <row r="47" spans="1:11">
      <c r="A47" s="10"/>
      <c r="B47" s="81"/>
      <c r="C47" s="82" t="s">
        <v>445</v>
      </c>
      <c r="D47" s="335">
        <v>1</v>
      </c>
      <c r="E47" s="10" t="s">
        <v>60</v>
      </c>
      <c r="F47" s="85">
        <f>1.62*5120</f>
        <v>8294.4000000000015</v>
      </c>
      <c r="G47" s="85">
        <f t="shared" si="18"/>
        <v>8294.4000000000015</v>
      </c>
      <c r="H47" s="85">
        <v>1250</v>
      </c>
      <c r="I47" s="86">
        <f t="shared" si="19"/>
        <v>1250</v>
      </c>
      <c r="J47" s="87">
        <f t="shared" si="20"/>
        <v>9544.4000000000015</v>
      </c>
      <c r="K47" s="336"/>
    </row>
    <row r="48" spans="1:11">
      <c r="A48" s="10"/>
      <c r="B48" s="517" t="s">
        <v>229</v>
      </c>
      <c r="C48" s="518"/>
      <c r="D48" s="335"/>
      <c r="E48" s="10"/>
      <c r="F48" s="85"/>
      <c r="G48" s="85"/>
      <c r="H48" s="85"/>
      <c r="I48" s="86"/>
      <c r="J48" s="87"/>
      <c r="K48" s="336"/>
    </row>
    <row r="49" spans="1:11">
      <c r="A49" s="10"/>
      <c r="B49" s="81"/>
      <c r="C49" s="82" t="s">
        <v>447</v>
      </c>
      <c r="D49" s="335">
        <v>2</v>
      </c>
      <c r="E49" s="10" t="s">
        <v>60</v>
      </c>
      <c r="F49" s="85">
        <v>14750</v>
      </c>
      <c r="G49" s="85">
        <f t="shared" ref="G49:G53" si="21">+F49*D49</f>
        <v>29500</v>
      </c>
      <c r="H49" s="85">
        <v>1750</v>
      </c>
      <c r="I49" s="86">
        <f t="shared" ref="I49:I53" si="22">D49*H49</f>
        <v>3500</v>
      </c>
      <c r="J49" s="87">
        <f t="shared" ref="J49:J53" si="23">G49+I49</f>
        <v>33000</v>
      </c>
      <c r="K49" s="336"/>
    </row>
    <row r="50" spans="1:11">
      <c r="A50" s="10"/>
      <c r="B50" s="81"/>
      <c r="C50" s="82" t="s">
        <v>450</v>
      </c>
      <c r="D50" s="335">
        <v>1</v>
      </c>
      <c r="E50" s="10" t="s">
        <v>60</v>
      </c>
      <c r="F50" s="85">
        <v>14750</v>
      </c>
      <c r="G50" s="85">
        <f t="shared" si="21"/>
        <v>14750</v>
      </c>
      <c r="H50" s="85">
        <v>1750</v>
      </c>
      <c r="I50" s="86">
        <f t="shared" si="22"/>
        <v>1750</v>
      </c>
      <c r="J50" s="87">
        <f t="shared" si="23"/>
        <v>16500</v>
      </c>
      <c r="K50" s="336"/>
    </row>
    <row r="51" spans="1:11">
      <c r="A51" s="10"/>
      <c r="B51" s="81"/>
      <c r="C51" s="82" t="s">
        <v>451</v>
      </c>
      <c r="D51" s="335">
        <v>1</v>
      </c>
      <c r="E51" s="10" t="s">
        <v>60</v>
      </c>
      <c r="F51" s="85">
        <f>2.4*5120</f>
        <v>12288</v>
      </c>
      <c r="G51" s="85">
        <f t="shared" si="21"/>
        <v>12288</v>
      </c>
      <c r="H51" s="85">
        <v>1500</v>
      </c>
      <c r="I51" s="86">
        <f t="shared" si="22"/>
        <v>1500</v>
      </c>
      <c r="J51" s="87">
        <f t="shared" si="23"/>
        <v>13788</v>
      </c>
      <c r="K51" s="336"/>
    </row>
    <row r="52" spans="1:11">
      <c r="A52" s="10"/>
      <c r="B52" s="81"/>
      <c r="C52" s="82" t="s">
        <v>452</v>
      </c>
      <c r="D52" s="335">
        <v>1</v>
      </c>
      <c r="E52" s="10" t="s">
        <v>60</v>
      </c>
      <c r="F52" s="85">
        <v>14750</v>
      </c>
      <c r="G52" s="85">
        <f t="shared" si="21"/>
        <v>14750</v>
      </c>
      <c r="H52" s="85">
        <v>1750</v>
      </c>
      <c r="I52" s="86">
        <f t="shared" si="22"/>
        <v>1750</v>
      </c>
      <c r="J52" s="87">
        <f t="shared" si="23"/>
        <v>16500</v>
      </c>
      <c r="K52" s="336"/>
    </row>
    <row r="53" spans="1:11">
      <c r="A53" s="10"/>
      <c r="B53" s="81"/>
      <c r="C53" s="82" t="s">
        <v>453</v>
      </c>
      <c r="D53" s="335">
        <v>1</v>
      </c>
      <c r="E53" s="10" t="s">
        <v>60</v>
      </c>
      <c r="F53" s="85">
        <v>14750</v>
      </c>
      <c r="G53" s="85">
        <f t="shared" si="21"/>
        <v>14750</v>
      </c>
      <c r="H53" s="85">
        <v>1750</v>
      </c>
      <c r="I53" s="86">
        <f t="shared" si="22"/>
        <v>1750</v>
      </c>
      <c r="J53" s="87">
        <f t="shared" si="23"/>
        <v>16500</v>
      </c>
      <c r="K53" s="336"/>
    </row>
    <row r="54" spans="1:11">
      <c r="A54" s="10"/>
      <c r="B54" s="517" t="s">
        <v>230</v>
      </c>
      <c r="C54" s="518"/>
      <c r="D54" s="335"/>
      <c r="E54" s="10"/>
      <c r="F54" s="85"/>
      <c r="G54" s="85"/>
      <c r="H54" s="85"/>
      <c r="I54" s="86"/>
      <c r="J54" s="87"/>
      <c r="K54" s="336"/>
    </row>
    <row r="55" spans="1:11">
      <c r="A55" s="10"/>
      <c r="B55" s="81"/>
      <c r="C55" s="82" t="s">
        <v>454</v>
      </c>
      <c r="D55" s="335">
        <v>2</v>
      </c>
      <c r="E55" s="10" t="s">
        <v>60</v>
      </c>
      <c r="F55" s="85">
        <v>14750</v>
      </c>
      <c r="G55" s="85">
        <f t="shared" ref="G55:G59" si="24">+F55*D55</f>
        <v>29500</v>
      </c>
      <c r="H55" s="85">
        <v>1750</v>
      </c>
      <c r="I55" s="86">
        <f t="shared" ref="I55:I59" si="25">D55*H55</f>
        <v>3500</v>
      </c>
      <c r="J55" s="87">
        <f t="shared" ref="J55:J59" si="26">G55+I55</f>
        <v>33000</v>
      </c>
      <c r="K55" s="336"/>
    </row>
    <row r="56" spans="1:11">
      <c r="A56" s="10"/>
      <c r="B56" s="81"/>
      <c r="C56" s="82" t="s">
        <v>455</v>
      </c>
      <c r="D56" s="335">
        <v>1</v>
      </c>
      <c r="E56" s="10" t="s">
        <v>60</v>
      </c>
      <c r="F56" s="85">
        <v>14750</v>
      </c>
      <c r="G56" s="85">
        <f t="shared" si="24"/>
        <v>14750</v>
      </c>
      <c r="H56" s="85">
        <v>1750</v>
      </c>
      <c r="I56" s="86">
        <f t="shared" si="25"/>
        <v>1750</v>
      </c>
      <c r="J56" s="87">
        <f t="shared" si="26"/>
        <v>16500</v>
      </c>
      <c r="K56" s="336"/>
    </row>
    <row r="57" spans="1:11">
      <c r="A57" s="10"/>
      <c r="B57" s="81"/>
      <c r="C57" s="82" t="s">
        <v>451</v>
      </c>
      <c r="D57" s="335">
        <v>1</v>
      </c>
      <c r="E57" s="10" t="s">
        <v>60</v>
      </c>
      <c r="F57" s="85">
        <f>2.4*5120</f>
        <v>12288</v>
      </c>
      <c r="G57" s="85">
        <f t="shared" si="24"/>
        <v>12288</v>
      </c>
      <c r="H57" s="85">
        <v>1750</v>
      </c>
      <c r="I57" s="86">
        <f t="shared" si="25"/>
        <v>1750</v>
      </c>
      <c r="J57" s="87">
        <f t="shared" si="26"/>
        <v>14038</v>
      </c>
      <c r="K57" s="336"/>
    </row>
    <row r="58" spans="1:11">
      <c r="A58" s="10"/>
      <c r="B58" s="81"/>
      <c r="C58" s="82" t="s">
        <v>456</v>
      </c>
      <c r="D58" s="335">
        <v>1</v>
      </c>
      <c r="E58" s="10" t="s">
        <v>60</v>
      </c>
      <c r="F58" s="85">
        <v>14750</v>
      </c>
      <c r="G58" s="85">
        <f t="shared" si="24"/>
        <v>14750</v>
      </c>
      <c r="H58" s="85">
        <v>1750</v>
      </c>
      <c r="I58" s="86">
        <f t="shared" si="25"/>
        <v>1750</v>
      </c>
      <c r="J58" s="87">
        <f t="shared" si="26"/>
        <v>16500</v>
      </c>
      <c r="K58" s="336"/>
    </row>
    <row r="59" spans="1:11">
      <c r="A59" s="10"/>
      <c r="B59" s="81"/>
      <c r="C59" s="82" t="s">
        <v>457</v>
      </c>
      <c r="D59" s="335">
        <v>1</v>
      </c>
      <c r="E59" s="10" t="s">
        <v>60</v>
      </c>
      <c r="F59" s="85">
        <v>14750</v>
      </c>
      <c r="G59" s="85">
        <f t="shared" si="24"/>
        <v>14750</v>
      </c>
      <c r="H59" s="85">
        <v>1750</v>
      </c>
      <c r="I59" s="86">
        <f t="shared" si="25"/>
        <v>1750</v>
      </c>
      <c r="J59" s="87">
        <f t="shared" si="26"/>
        <v>16500</v>
      </c>
      <c r="K59" s="336"/>
    </row>
    <row r="60" spans="1:11">
      <c r="A60" s="10"/>
      <c r="B60" s="517" t="s">
        <v>231</v>
      </c>
      <c r="C60" s="518"/>
      <c r="D60" s="335"/>
      <c r="E60" s="10"/>
      <c r="F60" s="85"/>
      <c r="G60" s="85"/>
      <c r="H60" s="85"/>
      <c r="I60" s="86"/>
      <c r="J60" s="87"/>
      <c r="K60" s="336"/>
    </row>
    <row r="61" spans="1:11">
      <c r="A61" s="10"/>
      <c r="B61" s="81"/>
      <c r="C61" s="82" t="s">
        <v>458</v>
      </c>
      <c r="D61" s="335">
        <v>2</v>
      </c>
      <c r="E61" s="10" t="s">
        <v>60</v>
      </c>
      <c r="F61" s="85">
        <v>14750</v>
      </c>
      <c r="G61" s="85">
        <f t="shared" ref="G61:G66" si="27">+F61*D61</f>
        <v>29500</v>
      </c>
      <c r="H61" s="85">
        <v>1750</v>
      </c>
      <c r="I61" s="86">
        <f t="shared" ref="I61:I66" si="28">D61*H61</f>
        <v>3500</v>
      </c>
      <c r="J61" s="87">
        <f t="shared" ref="J61:J66" si="29">G61+I61</f>
        <v>33000</v>
      </c>
      <c r="K61" s="336"/>
    </row>
    <row r="62" spans="1:11">
      <c r="A62" s="10"/>
      <c r="B62" s="81"/>
      <c r="C62" s="82" t="s">
        <v>459</v>
      </c>
      <c r="D62" s="335">
        <v>1</v>
      </c>
      <c r="E62" s="10" t="s">
        <v>60</v>
      </c>
      <c r="F62" s="85">
        <v>14750</v>
      </c>
      <c r="G62" s="85">
        <f t="shared" si="27"/>
        <v>14750</v>
      </c>
      <c r="H62" s="85">
        <v>1750</v>
      </c>
      <c r="I62" s="86">
        <f t="shared" si="28"/>
        <v>1750</v>
      </c>
      <c r="J62" s="87">
        <f t="shared" si="29"/>
        <v>16500</v>
      </c>
      <c r="K62" s="336"/>
    </row>
    <row r="63" spans="1:11">
      <c r="A63" s="10"/>
      <c r="B63" s="81"/>
      <c r="C63" s="82" t="s">
        <v>460</v>
      </c>
      <c r="D63" s="335">
        <v>1</v>
      </c>
      <c r="E63" s="10" t="s">
        <v>60</v>
      </c>
      <c r="F63" s="85">
        <v>14750</v>
      </c>
      <c r="G63" s="85">
        <f t="shared" si="27"/>
        <v>14750</v>
      </c>
      <c r="H63" s="85">
        <v>1750</v>
      </c>
      <c r="I63" s="86">
        <f t="shared" si="28"/>
        <v>1750</v>
      </c>
      <c r="J63" s="87">
        <f t="shared" si="29"/>
        <v>16500</v>
      </c>
      <c r="K63" s="336"/>
    </row>
    <row r="64" spans="1:11">
      <c r="A64" s="10"/>
      <c r="B64" s="81"/>
      <c r="C64" s="82" t="s">
        <v>461</v>
      </c>
      <c r="D64" s="335">
        <v>2</v>
      </c>
      <c r="E64" s="10" t="s">
        <v>60</v>
      </c>
      <c r="F64" s="85">
        <v>14750</v>
      </c>
      <c r="G64" s="85">
        <f t="shared" si="27"/>
        <v>29500</v>
      </c>
      <c r="H64" s="85">
        <v>1750</v>
      </c>
      <c r="I64" s="86">
        <f t="shared" si="28"/>
        <v>3500</v>
      </c>
      <c r="J64" s="87">
        <f t="shared" si="29"/>
        <v>33000</v>
      </c>
      <c r="K64" s="336"/>
    </row>
    <row r="65" spans="1:11">
      <c r="A65" s="10"/>
      <c r="B65" s="81"/>
      <c r="C65" s="82" t="s">
        <v>462</v>
      </c>
      <c r="D65" s="335">
        <v>1</v>
      </c>
      <c r="E65" s="10" t="s">
        <v>60</v>
      </c>
      <c r="F65" s="85">
        <v>14750</v>
      </c>
      <c r="G65" s="85">
        <f t="shared" si="27"/>
        <v>14750</v>
      </c>
      <c r="H65" s="85">
        <v>1750</v>
      </c>
      <c r="I65" s="86">
        <f t="shared" si="28"/>
        <v>1750</v>
      </c>
      <c r="J65" s="87">
        <f t="shared" si="29"/>
        <v>16500</v>
      </c>
      <c r="K65" s="336"/>
    </row>
    <row r="66" spans="1:11">
      <c r="A66" s="10"/>
      <c r="B66" s="81"/>
      <c r="C66" s="82" t="s">
        <v>463</v>
      </c>
      <c r="D66" s="335">
        <v>1</v>
      </c>
      <c r="E66" s="10" t="s">
        <v>60</v>
      </c>
      <c r="F66" s="85">
        <v>14750</v>
      </c>
      <c r="G66" s="85">
        <f t="shared" si="27"/>
        <v>14750</v>
      </c>
      <c r="H66" s="85">
        <v>1750</v>
      </c>
      <c r="I66" s="86">
        <f t="shared" si="28"/>
        <v>1750</v>
      </c>
      <c r="J66" s="87">
        <f t="shared" si="29"/>
        <v>16500</v>
      </c>
      <c r="K66" s="336"/>
    </row>
    <row r="67" spans="1:11">
      <c r="A67" s="10"/>
      <c r="B67" s="338" t="s">
        <v>530</v>
      </c>
      <c r="C67" s="82"/>
      <c r="D67" s="335"/>
      <c r="E67" s="84"/>
      <c r="F67" s="85"/>
      <c r="G67" s="85"/>
      <c r="H67" s="85"/>
      <c r="I67" s="86"/>
      <c r="J67" s="86"/>
      <c r="K67" s="530"/>
    </row>
    <row r="68" spans="1:11">
      <c r="A68" s="10"/>
      <c r="B68" s="81"/>
      <c r="C68" s="82" t="s">
        <v>531</v>
      </c>
      <c r="D68" s="335">
        <v>6</v>
      </c>
      <c r="E68" s="84" t="s">
        <v>60</v>
      </c>
      <c r="F68" s="85">
        <v>50000</v>
      </c>
      <c r="G68" s="85">
        <f t="shared" ref="G68" si="30">+F68*D68</f>
        <v>300000</v>
      </c>
      <c r="H68" s="85">
        <v>0</v>
      </c>
      <c r="I68" s="86">
        <f t="shared" ref="I68" si="31">D68*H68</f>
        <v>0</v>
      </c>
      <c r="J68" s="86">
        <f t="shared" ref="J68" si="32">G68+I68</f>
        <v>300000</v>
      </c>
      <c r="K68" s="530" t="s">
        <v>89</v>
      </c>
    </row>
    <row r="69" spans="1:11" ht="22.5" thickBot="1">
      <c r="A69" s="10"/>
      <c r="B69" s="81"/>
      <c r="C69" s="82" t="s">
        <v>532</v>
      </c>
      <c r="D69" s="335">
        <v>6</v>
      </c>
      <c r="E69" s="84" t="s">
        <v>60</v>
      </c>
      <c r="F69" s="85">
        <v>50000</v>
      </c>
      <c r="G69" s="85">
        <f t="shared" ref="G69" si="33">+F69*D69</f>
        <v>300000</v>
      </c>
      <c r="H69" s="85">
        <v>0</v>
      </c>
      <c r="I69" s="86">
        <f t="shared" ref="I69" si="34">D69*H69</f>
        <v>0</v>
      </c>
      <c r="J69" s="86">
        <f t="shared" ref="J69" si="35">G69+I69</f>
        <v>300000</v>
      </c>
      <c r="K69" s="530" t="s">
        <v>89</v>
      </c>
    </row>
    <row r="70" spans="1:11" ht="22.5" thickBot="1">
      <c r="A70" s="439"/>
      <c r="B70" s="668" t="s">
        <v>521</v>
      </c>
      <c r="C70" s="669"/>
      <c r="D70" s="428"/>
      <c r="E70" s="427"/>
      <c r="F70" s="429"/>
      <c r="G70" s="430">
        <f>SUM(G11:G69)</f>
        <v>2290546</v>
      </c>
      <c r="H70" s="429"/>
      <c r="I70" s="430">
        <f>SUM(I11:I69)</f>
        <v>53400</v>
      </c>
      <c r="J70" s="431">
        <f>SUM(J11:J69)</f>
        <v>2343946</v>
      </c>
      <c r="K70" s="440"/>
    </row>
    <row r="78" spans="1:11" s="373" customFormat="1">
      <c r="A78" s="116"/>
      <c r="B78" s="5"/>
      <c r="C78" s="527"/>
      <c r="D78" s="117"/>
      <c r="E78" s="5"/>
      <c r="F78" s="118"/>
      <c r="G78" s="118"/>
      <c r="H78" s="118"/>
      <c r="I78" s="118"/>
      <c r="J78" s="118"/>
      <c r="K78" s="5"/>
    </row>
    <row r="79" spans="1:11" s="453" customFormat="1">
      <c r="A79" s="116"/>
      <c r="B79" s="5"/>
      <c r="C79" s="527"/>
      <c r="D79" s="117"/>
      <c r="E79" s="5"/>
      <c r="F79" s="118"/>
      <c r="G79" s="118"/>
      <c r="H79" s="118"/>
      <c r="I79" s="118"/>
      <c r="J79" s="118"/>
      <c r="K79" s="5"/>
    </row>
    <row r="82" spans="1:11" s="373" customFormat="1">
      <c r="A82" s="116"/>
      <c r="B82" s="5"/>
      <c r="C82" s="527"/>
      <c r="D82" s="117"/>
      <c r="E82" s="5"/>
      <c r="F82" s="118"/>
      <c r="G82" s="118"/>
      <c r="H82" s="118"/>
      <c r="I82" s="118"/>
      <c r="J82" s="118"/>
      <c r="K82" s="5"/>
    </row>
    <row r="83" spans="1:11" s="408" customFormat="1">
      <c r="A83" s="116"/>
      <c r="B83" s="5"/>
      <c r="C83" s="527"/>
      <c r="D83" s="117"/>
      <c r="E83" s="5"/>
      <c r="F83" s="118"/>
      <c r="G83" s="118"/>
      <c r="H83" s="118"/>
      <c r="I83" s="118"/>
      <c r="J83" s="118"/>
      <c r="K83" s="5"/>
    </row>
  </sheetData>
  <mergeCells count="3">
    <mergeCell ref="I5:J5"/>
    <mergeCell ref="B38:C38"/>
    <mergeCell ref="B70:C70"/>
  </mergeCells>
  <printOptions horizontalCentered="1"/>
  <pageMargins left="0.2" right="0.2" top="0.5" bottom="0.5" header="0.3" footer="0.3"/>
  <pageSetup paperSize="9" scale="87" fitToHeight="25" orientation="landscape" horizontalDpi="300" verticalDpi="300" r:id="rId1"/>
  <headerFooter alignWithMargins="0"/>
  <rowBreaks count="3" manualBreakCount="3">
    <brk id="22" max="10" man="1"/>
    <brk id="37" max="10" man="1"/>
    <brk id="53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17</vt:i4>
      </vt:variant>
    </vt:vector>
  </HeadingPairs>
  <TitlesOfParts>
    <vt:vector size="27" baseType="lpstr">
      <vt:lpstr> ปร.6</vt:lpstr>
      <vt:lpstr> ปร.5</vt:lpstr>
      <vt:lpstr>Summary cost</vt:lpstr>
      <vt:lpstr>1.1.ST</vt:lpstr>
      <vt:lpstr>1.2 AR</vt:lpstr>
      <vt:lpstr>1.3.EE </vt:lpstr>
      <vt:lpstr>1.4.SN </vt:lpstr>
      <vt:lpstr>2.1.EEอุปกรณ์ประกอบอาคาร</vt:lpstr>
      <vt:lpstr>2.2ARงานป้ายสัญลักษณ์</vt:lpstr>
      <vt:lpstr>2.3 งานอุปกรณ์ประกอบสถาปัตยกรรม</vt:lpstr>
      <vt:lpstr>' ปร.5'!Print_Area</vt:lpstr>
      <vt:lpstr>' ปร.6'!Print_Area</vt:lpstr>
      <vt:lpstr>'1.1.ST'!Print_Area</vt:lpstr>
      <vt:lpstr>'1.2 AR'!Print_Area</vt:lpstr>
      <vt:lpstr>'1.3.EE '!Print_Area</vt:lpstr>
      <vt:lpstr>'1.4.SN '!Print_Area</vt:lpstr>
      <vt:lpstr>'2.1.EEอุปกรณ์ประกอบอาคาร'!Print_Area</vt:lpstr>
      <vt:lpstr>'2.2ARงานป้ายสัญลักษณ์'!Print_Area</vt:lpstr>
      <vt:lpstr>'2.3 งานอุปกรณ์ประกอบสถาปัตยกรรม'!Print_Area</vt:lpstr>
      <vt:lpstr>'Summary cost'!Print_Area</vt:lpstr>
      <vt:lpstr>'1.1.ST'!Print_Titles</vt:lpstr>
      <vt:lpstr>'1.2 AR'!Print_Titles</vt:lpstr>
      <vt:lpstr>'1.3.EE '!Print_Titles</vt:lpstr>
      <vt:lpstr>'1.4.SN '!Print_Titles</vt:lpstr>
      <vt:lpstr>'2.1.EEอุปกรณ์ประกอบอาคาร'!Print_Titles</vt:lpstr>
      <vt:lpstr>'2.2ARงานป้ายสัญลักษณ์'!Print_Titles</vt:lpstr>
      <vt:lpstr>'2.3 งานอุปกรณ์ประกอบสถาปัตยกรรม'!Print_Titles</vt:lpstr>
    </vt:vector>
  </TitlesOfParts>
  <Company>kku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build02</dc:creator>
  <cp:lastModifiedBy>COMMAND LEK</cp:lastModifiedBy>
  <cp:lastPrinted>2023-11-13T05:38:13Z</cp:lastPrinted>
  <dcterms:created xsi:type="dcterms:W3CDTF">2002-04-04T04:02:06Z</dcterms:created>
  <dcterms:modified xsi:type="dcterms:W3CDTF">2025-02-07T04:50:30Z</dcterms:modified>
</cp:coreProperties>
</file>